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3800" tabRatio="653" firstSheet="1" activeTab="6"/>
  </bookViews>
  <sheets>
    <sheet name="INSTRUCTIONS" sheetId="9" r:id="rId1"/>
    <sheet name="1) Investment &amp; Depreciation" sheetId="7" r:id="rId2"/>
    <sheet name="2) Area Prod Econ Info" sheetId="6" r:id="rId3"/>
    <sheet name="3) Generated Ent Budgets" sheetId="8" r:id="rId4"/>
    <sheet name="A) IPRS Facility Calculator" sheetId="1" r:id="rId5"/>
    <sheet name="B) Stocking" sheetId="4" r:id="rId6"/>
    <sheet name="C) Feeding" sheetId="5" r:id="rId7"/>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8" i="6" l="1"/>
  <c r="E15" i="7" l="1"/>
  <c r="E36" i="7" l="1"/>
  <c r="I36" i="7" s="1"/>
  <c r="E22" i="7"/>
  <c r="I22" i="7" s="1"/>
  <c r="J78" i="6" l="1"/>
  <c r="J77" i="6"/>
  <c r="B26" i="1" l="1"/>
  <c r="C24" i="5" l="1"/>
  <c r="D24" i="5"/>
  <c r="E24" i="5"/>
  <c r="F24" i="5"/>
  <c r="B25" i="5"/>
  <c r="C25" i="5" s="1"/>
  <c r="B23" i="5"/>
  <c r="C23" i="5" s="1"/>
  <c r="D15" i="5"/>
  <c r="D16" i="5" s="1"/>
  <c r="D17" i="5" s="1"/>
  <c r="D18" i="5" s="1"/>
  <c r="D19" i="5" s="1"/>
  <c r="D20" i="5" s="1"/>
  <c r="C21" i="5"/>
  <c r="D21" i="5"/>
  <c r="E21" i="5"/>
  <c r="F21" i="5"/>
  <c r="C22" i="5"/>
  <c r="D22" i="5"/>
  <c r="E22" i="5"/>
  <c r="F22" i="5"/>
  <c r="F15" i="5"/>
  <c r="F16" i="5" s="1"/>
  <c r="F17" i="5" s="1"/>
  <c r="F18" i="5" s="1"/>
  <c r="F19" i="5" s="1"/>
  <c r="F20" i="5" s="1"/>
  <c r="E15" i="5"/>
  <c r="E16" i="5" s="1"/>
  <c r="E17" i="5" s="1"/>
  <c r="E18" i="5" s="1"/>
  <c r="E19" i="5" s="1"/>
  <c r="E20" i="5" s="1"/>
  <c r="C15" i="5"/>
  <c r="C16" i="5" s="1"/>
  <c r="C17" i="5" s="1"/>
  <c r="C18" i="5" s="1"/>
  <c r="C19" i="5" s="1"/>
  <c r="C20" i="5" s="1"/>
  <c r="F23" i="5" l="1"/>
  <c r="F25" i="5"/>
  <c r="E25" i="5"/>
  <c r="D25" i="5"/>
  <c r="E23" i="5"/>
  <c r="D23" i="5"/>
  <c r="C8" i="8"/>
  <c r="D8" i="8"/>
  <c r="B8" i="8"/>
  <c r="J15" i="8"/>
  <c r="A19" i="8"/>
  <c r="A20" i="8"/>
  <c r="A21" i="8"/>
  <c r="A22" i="8"/>
  <c r="A23" i="8"/>
  <c r="A24" i="8"/>
  <c r="A25" i="8"/>
  <c r="A26" i="8"/>
  <c r="A27" i="8"/>
  <c r="A28" i="8"/>
  <c r="A29" i="8"/>
  <c r="A30" i="8"/>
  <c r="A18" i="8"/>
  <c r="C26" i="8"/>
  <c r="H26" i="8" s="1"/>
  <c r="D26" i="8"/>
  <c r="I26" i="8" s="1"/>
  <c r="B26" i="8"/>
  <c r="G26" i="8" s="1"/>
  <c r="J26" i="8" l="1"/>
  <c r="E26" i="8"/>
  <c r="D77" i="6" l="1"/>
  <c r="D23" i="8" s="1"/>
  <c r="I23" i="8" s="1"/>
  <c r="C77" i="6"/>
  <c r="C23" i="8" s="1"/>
  <c r="H23" i="8" s="1"/>
  <c r="B77" i="6"/>
  <c r="B23" i="8" s="1"/>
  <c r="G23" i="8" s="1"/>
  <c r="J23" i="8" l="1"/>
  <c r="E23" i="8"/>
  <c r="B24" i="8"/>
  <c r="G24" i="8" s="1"/>
  <c r="C78" i="6"/>
  <c r="C24" i="8" s="1"/>
  <c r="H24" i="8" s="1"/>
  <c r="D78" i="6"/>
  <c r="D24" i="8" s="1"/>
  <c r="I24" i="8" s="1"/>
  <c r="J24" i="8" l="1"/>
  <c r="E24" i="8"/>
  <c r="K78" i="6"/>
  <c r="L78" i="6" s="1"/>
  <c r="K77" i="6"/>
  <c r="E78" i="6" l="1"/>
  <c r="C43" i="6" l="1"/>
  <c r="D43" i="6"/>
  <c r="B43" i="6"/>
  <c r="C44" i="6" l="1"/>
  <c r="D44" i="6"/>
  <c r="B44" i="6"/>
  <c r="U5" i="7" s="1"/>
  <c r="E54" i="7"/>
  <c r="I54" i="7" s="1"/>
  <c r="E53" i="7"/>
  <c r="I53" i="7" s="1"/>
  <c r="E52" i="7"/>
  <c r="I52" i="7" s="1"/>
  <c r="E51" i="7"/>
  <c r="I51" i="7" s="1"/>
  <c r="E50" i="7"/>
  <c r="E49" i="7"/>
  <c r="E48" i="7"/>
  <c r="E47" i="7"/>
  <c r="E46" i="7"/>
  <c r="E45" i="7"/>
  <c r="E44" i="7"/>
  <c r="E43" i="7"/>
  <c r="E42" i="7"/>
  <c r="I42" i="7" s="1"/>
  <c r="E41" i="7"/>
  <c r="E40" i="7"/>
  <c r="E39" i="7"/>
  <c r="I39" i="7" s="1"/>
  <c r="E38" i="7"/>
  <c r="I38" i="7" s="1"/>
  <c r="E37" i="7"/>
  <c r="E32" i="7"/>
  <c r="E31" i="7"/>
  <c r="I31" i="7" s="1"/>
  <c r="E30" i="7"/>
  <c r="I30" i="7" s="1"/>
  <c r="E29" i="7"/>
  <c r="I29" i="7" s="1"/>
  <c r="E28" i="7"/>
  <c r="E27" i="7"/>
  <c r="E24" i="7"/>
  <c r="I24" i="7" s="1"/>
  <c r="E21" i="7"/>
  <c r="I21" i="7" s="1"/>
  <c r="E20" i="7"/>
  <c r="I20" i="7" s="1"/>
  <c r="E19" i="7"/>
  <c r="E18" i="7"/>
  <c r="C16" i="6"/>
  <c r="E80" i="6"/>
  <c r="L77" i="6"/>
  <c r="C22" i="6"/>
  <c r="B36" i="6" s="1"/>
  <c r="B39" i="6" s="1"/>
  <c r="C15" i="6"/>
  <c r="C25" i="6" s="1"/>
  <c r="C26" i="6" s="1"/>
  <c r="C47" i="6"/>
  <c r="C48" i="6" s="1"/>
  <c r="D47" i="6"/>
  <c r="D48" i="6" s="1"/>
  <c r="B47" i="6"/>
  <c r="B48" i="6" s="1"/>
  <c r="D36" i="6" l="1"/>
  <c r="B50" i="6"/>
  <c r="E55" i="7"/>
  <c r="U8" i="7"/>
  <c r="C36" i="6"/>
  <c r="D50" i="6"/>
  <c r="I40" i="7"/>
  <c r="I41" i="7"/>
  <c r="I49" i="7"/>
  <c r="I50" i="7"/>
  <c r="I44" i="7"/>
  <c r="I37" i="7"/>
  <c r="I27" i="7"/>
  <c r="I46" i="7"/>
  <c r="I48" i="7"/>
  <c r="I28" i="7"/>
  <c r="I47" i="7"/>
  <c r="I45" i="7"/>
  <c r="E77" i="6"/>
  <c r="I18" i="7"/>
  <c r="I19" i="7"/>
  <c r="C27" i="6"/>
  <c r="C50" i="6"/>
  <c r="C53" i="6"/>
  <c r="B53" i="6"/>
  <c r="D53" i="6"/>
  <c r="D83" i="6" s="1"/>
  <c r="B10" i="8" l="1"/>
  <c r="B83" i="6"/>
  <c r="C10" i="8"/>
  <c r="H10" i="8" s="1"/>
  <c r="C83" i="6"/>
  <c r="B79" i="6"/>
  <c r="D82" i="6"/>
  <c r="D28" i="8" s="1"/>
  <c r="I28" i="8" s="1"/>
  <c r="C74" i="6"/>
  <c r="C20" i="8" s="1"/>
  <c r="H20" i="8" s="1"/>
  <c r="D85" i="6"/>
  <c r="D30" i="8" s="1"/>
  <c r="I30" i="8" s="1"/>
  <c r="C76" i="6"/>
  <c r="C22" i="8" s="1"/>
  <c r="H22" i="8" s="1"/>
  <c r="D76" i="6"/>
  <c r="D22" i="8" s="1"/>
  <c r="I22" i="8" s="1"/>
  <c r="B76" i="6"/>
  <c r="C79" i="6"/>
  <c r="C25" i="8" s="1"/>
  <c r="H25" i="8" s="1"/>
  <c r="B84" i="6"/>
  <c r="C82" i="6"/>
  <c r="C28" i="8" s="1"/>
  <c r="H28" i="8" s="1"/>
  <c r="C85" i="6"/>
  <c r="C30" i="8" s="1"/>
  <c r="H30" i="8" s="1"/>
  <c r="B82" i="6"/>
  <c r="D74" i="6"/>
  <c r="D20" i="8" s="1"/>
  <c r="I20" i="8" s="1"/>
  <c r="B74" i="6"/>
  <c r="B20" i="8" s="1"/>
  <c r="B85" i="6"/>
  <c r="C84" i="6"/>
  <c r="C29" i="8" s="1"/>
  <c r="H29" i="8" s="1"/>
  <c r="C75" i="6"/>
  <c r="C21" i="8" s="1"/>
  <c r="H21" i="8" s="1"/>
  <c r="D75" i="6"/>
  <c r="D21" i="8" s="1"/>
  <c r="I21" i="8" s="1"/>
  <c r="D79" i="6"/>
  <c r="D25" i="8" s="1"/>
  <c r="I25" i="8" s="1"/>
  <c r="B75" i="6"/>
  <c r="B21" i="8" s="1"/>
  <c r="D84" i="6"/>
  <c r="D29" i="8" s="1"/>
  <c r="I29" i="8" s="1"/>
  <c r="C39" i="6"/>
  <c r="C40" i="6" s="1"/>
  <c r="B72" i="6"/>
  <c r="B71" i="6"/>
  <c r="B18" i="8" s="1"/>
  <c r="G18" i="8" s="1"/>
  <c r="D39" i="6"/>
  <c r="D41" i="6" s="1"/>
  <c r="D72" i="6"/>
  <c r="D71" i="6"/>
  <c r="D18" i="8" s="1"/>
  <c r="I18" i="8" s="1"/>
  <c r="C72" i="6"/>
  <c r="C71" i="6"/>
  <c r="E16" i="7"/>
  <c r="I55" i="7"/>
  <c r="C37" i="8" s="1"/>
  <c r="H37" i="8" s="1"/>
  <c r="B81" i="6"/>
  <c r="B27" i="8" s="1"/>
  <c r="D68" i="6"/>
  <c r="D15" i="8" s="1"/>
  <c r="D10" i="8"/>
  <c r="I10" i="8" s="1"/>
  <c r="G10" i="8"/>
  <c r="E17" i="7"/>
  <c r="I17" i="7" s="1"/>
  <c r="U6" i="7"/>
  <c r="C81" i="6"/>
  <c r="C27" i="8" s="1"/>
  <c r="H27" i="8" s="1"/>
  <c r="D81" i="6"/>
  <c r="D27" i="8" s="1"/>
  <c r="I27" i="8" s="1"/>
  <c r="D40" i="6"/>
  <c r="D73" i="6"/>
  <c r="D19" i="8" s="1"/>
  <c r="I19" i="8" s="1"/>
  <c r="E36" i="6"/>
  <c r="B41" i="6"/>
  <c r="B9" i="8" s="1"/>
  <c r="B68" i="6"/>
  <c r="B15" i="8" s="1"/>
  <c r="E53" i="6"/>
  <c r="E50" i="6"/>
  <c r="C54" i="6"/>
  <c r="C68" i="6"/>
  <c r="C15" i="8" s="1"/>
  <c r="E74" i="6"/>
  <c r="E75" i="6"/>
  <c r="B54" i="6"/>
  <c r="D54" i="6"/>
  <c r="E83" i="6" l="1"/>
  <c r="D9" i="8"/>
  <c r="I9" i="8" s="1"/>
  <c r="B30" i="8"/>
  <c r="E85" i="6"/>
  <c r="C41" i="6"/>
  <c r="C73" i="6"/>
  <c r="C19" i="8" s="1"/>
  <c r="H19" i="8" s="1"/>
  <c r="G21" i="8"/>
  <c r="J21" i="8" s="1"/>
  <c r="E21" i="8"/>
  <c r="B28" i="8"/>
  <c r="E82" i="6"/>
  <c r="E20" i="8"/>
  <c r="G20" i="8"/>
  <c r="J20" i="8" s="1"/>
  <c r="B22" i="8"/>
  <c r="E76" i="6"/>
  <c r="B29" i="8"/>
  <c r="E84" i="6"/>
  <c r="B25" i="8"/>
  <c r="E79" i="6"/>
  <c r="E71" i="6"/>
  <c r="E72" i="6"/>
  <c r="C18" i="8"/>
  <c r="I16" i="7"/>
  <c r="D26" i="7"/>
  <c r="E26" i="7" s="1"/>
  <c r="I26" i="7" s="1"/>
  <c r="D25" i="7"/>
  <c r="E25" i="7" s="1"/>
  <c r="B37" i="8"/>
  <c r="G37" i="8" s="1"/>
  <c r="D37" i="8"/>
  <c r="I37" i="8" s="1"/>
  <c r="D23" i="7"/>
  <c r="E23" i="7" s="1"/>
  <c r="I31" i="8"/>
  <c r="I33" i="8" s="1"/>
  <c r="J27" i="8"/>
  <c r="J10" i="8"/>
  <c r="E10" i="8"/>
  <c r="C86" i="6"/>
  <c r="D31" i="8"/>
  <c r="E15" i="8"/>
  <c r="E81" i="6"/>
  <c r="D86" i="6"/>
  <c r="E39" i="6"/>
  <c r="B73" i="6"/>
  <c r="B19" i="8" s="1"/>
  <c r="G19" i="8" s="1"/>
  <c r="B40" i="6"/>
  <c r="E68" i="6"/>
  <c r="C9" i="8" l="1"/>
  <c r="H9" i="8" s="1"/>
  <c r="G25" i="8"/>
  <c r="J25" i="8" s="1"/>
  <c r="E25" i="8"/>
  <c r="C31" i="8"/>
  <c r="C33" i="8" s="1"/>
  <c r="E22" i="8"/>
  <c r="G22" i="8"/>
  <c r="J22" i="8" s="1"/>
  <c r="G28" i="8"/>
  <c r="J28" i="8" s="1"/>
  <c r="E28" i="8"/>
  <c r="G29" i="8"/>
  <c r="J29" i="8" s="1"/>
  <c r="E29" i="8"/>
  <c r="G30" i="8"/>
  <c r="J30" i="8" s="1"/>
  <c r="E30" i="8"/>
  <c r="H18" i="8"/>
  <c r="E18" i="8"/>
  <c r="E33" i="7"/>
  <c r="E57" i="7" s="1"/>
  <c r="J37" i="8"/>
  <c r="E37" i="8"/>
  <c r="D33" i="8"/>
  <c r="J19" i="8"/>
  <c r="E41" i="6"/>
  <c r="I23" i="7"/>
  <c r="E19" i="8"/>
  <c r="B31" i="8"/>
  <c r="I25" i="7"/>
  <c r="E73" i="6"/>
  <c r="B86" i="6"/>
  <c r="G31" i="8" l="1"/>
  <c r="J18" i="8"/>
  <c r="H31" i="8"/>
  <c r="H33" i="8" s="1"/>
  <c r="E11" i="8"/>
  <c r="J11" i="8" s="1"/>
  <c r="F15" i="7"/>
  <c r="F30" i="7"/>
  <c r="F25" i="7"/>
  <c r="F23" i="7"/>
  <c r="F51" i="7"/>
  <c r="F54" i="7"/>
  <c r="F43" i="7"/>
  <c r="F42" i="7"/>
  <c r="F32" i="7"/>
  <c r="F52" i="7"/>
  <c r="F16" i="7"/>
  <c r="F19" i="7"/>
  <c r="F48" i="7"/>
  <c r="F45" i="7"/>
  <c r="F39" i="7"/>
  <c r="F28" i="7"/>
  <c r="F24" i="7"/>
  <c r="F27" i="7"/>
  <c r="F53" i="7"/>
  <c r="F46" i="7"/>
  <c r="F17" i="7"/>
  <c r="F31" i="7"/>
  <c r="F41" i="7"/>
  <c r="F29" i="7"/>
  <c r="F21" i="7"/>
  <c r="F36" i="7"/>
  <c r="F50" i="7"/>
  <c r="F40" i="7"/>
  <c r="F26" i="7"/>
  <c r="F18" i="7"/>
  <c r="F44" i="7"/>
  <c r="F20" i="7"/>
  <c r="F38" i="7"/>
  <c r="F49" i="7"/>
  <c r="F47" i="7"/>
  <c r="F22" i="7"/>
  <c r="F37" i="7"/>
  <c r="I33" i="7"/>
  <c r="I57" i="7" s="1"/>
  <c r="J26" i="7" s="1"/>
  <c r="B33" i="8"/>
  <c r="E33" i="8" s="1"/>
  <c r="E31" i="8"/>
  <c r="E9" i="8"/>
  <c r="G9" i="8"/>
  <c r="J9" i="8" s="1"/>
  <c r="G33" i="8"/>
  <c r="E86" i="6"/>
  <c r="F83" i="6" s="1"/>
  <c r="J33" i="8" l="1"/>
  <c r="J31" i="8"/>
  <c r="F73" i="6"/>
  <c r="F71" i="6"/>
  <c r="F72" i="6"/>
  <c r="F55" i="7"/>
  <c r="F33" i="7"/>
  <c r="J21" i="7"/>
  <c r="J39" i="7"/>
  <c r="J46" i="7"/>
  <c r="J20" i="7"/>
  <c r="J37" i="7"/>
  <c r="J18" i="7"/>
  <c r="J23" i="7"/>
  <c r="J45" i="7"/>
  <c r="J16" i="7"/>
  <c r="J31" i="7"/>
  <c r="J51" i="7"/>
  <c r="J43" i="7"/>
  <c r="J32" i="7"/>
  <c r="J24" i="7"/>
  <c r="J25" i="7"/>
  <c r="J29" i="7"/>
  <c r="J38" i="7"/>
  <c r="J50" i="7"/>
  <c r="J52" i="7"/>
  <c r="J41" i="7"/>
  <c r="J22" i="7"/>
  <c r="J44" i="7"/>
  <c r="J47" i="7"/>
  <c r="J40" i="7"/>
  <c r="J42" i="7"/>
  <c r="J54" i="7"/>
  <c r="J48" i="7"/>
  <c r="D36" i="8"/>
  <c r="J19" i="7"/>
  <c r="J49" i="7"/>
  <c r="J28" i="7"/>
  <c r="C36" i="8"/>
  <c r="J53" i="7"/>
  <c r="J27" i="7"/>
  <c r="J17" i="7"/>
  <c r="J30" i="7"/>
  <c r="J36" i="7"/>
  <c r="B36" i="8"/>
  <c r="F79" i="6"/>
  <c r="F78" i="6"/>
  <c r="F85" i="6"/>
  <c r="F80" i="6"/>
  <c r="F82" i="6"/>
  <c r="F84" i="6"/>
  <c r="F76" i="6"/>
  <c r="F77" i="6"/>
  <c r="F75" i="6"/>
  <c r="F74" i="6"/>
  <c r="F81" i="6"/>
  <c r="F57" i="7" l="1"/>
  <c r="J33" i="7"/>
  <c r="J55" i="7"/>
  <c r="I36" i="8"/>
  <c r="I38" i="8" s="1"/>
  <c r="I40" i="8" s="1"/>
  <c r="D38" i="8"/>
  <c r="D40" i="8" s="1"/>
  <c r="C38" i="8"/>
  <c r="C40" i="8" s="1"/>
  <c r="H36" i="8"/>
  <c r="H38" i="8" s="1"/>
  <c r="H40" i="8" s="1"/>
  <c r="E36" i="8"/>
  <c r="G36" i="8"/>
  <c r="H8" i="4"/>
  <c r="J57" i="7" l="1"/>
  <c r="C45" i="8"/>
  <c r="C42" i="8"/>
  <c r="C43" i="8" s="1"/>
  <c r="C44" i="8"/>
  <c r="G38" i="8"/>
  <c r="J36" i="8"/>
  <c r="H45" i="8"/>
  <c r="H42" i="8"/>
  <c r="H43" i="8" s="1"/>
  <c r="H44" i="8"/>
  <c r="D44" i="8"/>
  <c r="D45" i="8"/>
  <c r="D42" i="8"/>
  <c r="D43" i="8" s="1"/>
  <c r="I44" i="8"/>
  <c r="I45" i="8"/>
  <c r="I42" i="8"/>
  <c r="I43" i="8" s="1"/>
  <c r="B38" i="8"/>
  <c r="G40" i="8" l="1"/>
  <c r="J38" i="8"/>
  <c r="B40" i="8"/>
  <c r="B44" i="8" s="1"/>
  <c r="E38" i="8"/>
  <c r="H15" i="4"/>
  <c r="H14" i="4"/>
  <c r="H13" i="4"/>
  <c r="H12" i="4"/>
  <c r="H11" i="4"/>
  <c r="H10" i="4"/>
  <c r="H9" i="4"/>
  <c r="B36" i="1"/>
  <c r="C36" i="1" s="1"/>
  <c r="C26" i="1"/>
  <c r="E16" i="1"/>
  <c r="E15" i="1"/>
  <c r="E9" i="1"/>
  <c r="B25" i="1" s="1"/>
  <c r="C25" i="1" s="1"/>
  <c r="E8" i="1"/>
  <c r="B34" i="1" s="1"/>
  <c r="C34" i="1" s="1"/>
  <c r="D34" i="1" s="1"/>
  <c r="D25" i="1" l="1"/>
  <c r="D26" i="1"/>
  <c r="D36" i="1"/>
  <c r="G42" i="8"/>
  <c r="G44" i="8"/>
  <c r="J44" i="8" s="1"/>
  <c r="G45" i="8"/>
  <c r="J45" i="8" s="1"/>
  <c r="J40" i="8"/>
  <c r="B45" i="8"/>
  <c r="E45" i="8" s="1"/>
  <c r="E44" i="8"/>
  <c r="B42" i="8"/>
  <c r="E40" i="8"/>
  <c r="B35" i="1"/>
  <c r="C35" i="1" s="1"/>
  <c r="D35" i="1" s="1"/>
  <c r="E7" i="1"/>
  <c r="B24" i="1"/>
  <c r="C24" i="1" s="1"/>
  <c r="D24" i="1" s="1"/>
  <c r="G43" i="8" l="1"/>
  <c r="J43" i="8" s="1"/>
  <c r="J42" i="8"/>
  <c r="B43" i="8"/>
  <c r="E43" i="8" s="1"/>
  <c r="E42" i="8"/>
  <c r="E46" i="8" s="1"/>
  <c r="J46" i="8" s="1"/>
  <c r="F86" i="6"/>
  <c r="B33" i="1"/>
  <c r="C33" i="1" s="1"/>
  <c r="D33" i="1" s="1"/>
  <c r="B23" i="1"/>
  <c r="C23" i="1" l="1"/>
  <c r="D23" i="1" s="1"/>
  <c r="E27" i="8"/>
</calcChain>
</file>

<file path=xl/sharedStrings.xml><?xml version="1.0" encoding="utf-8"?>
<sst xmlns="http://schemas.openxmlformats.org/spreadsheetml/2006/main" count="492" uniqueCount="314">
  <si>
    <t>IPRS Budget Generator</t>
  </si>
  <si>
    <t>Purpose of the IPRS Budget Generator: to quickly provide an estimate of potential profit or loss of new IPRS installations or to run different scenarios of existing IPRS systems.</t>
  </si>
  <si>
    <t>This budget generator may be used to examine best, worst, and expected case scenarios for one or more species.</t>
  </si>
  <si>
    <t>INSTRUCTIONS</t>
  </si>
  <si>
    <t>1. Completed the '1) Investment &amp; Depreciation' worksheet first, following the instructions on that worksheet.</t>
  </si>
  <si>
    <t>2. Completed the '2) Area Prod Econ Info' worksheet next, following the instructions on that worksheet.</t>
  </si>
  <si>
    <t>3. In the '3) Generated Ent Budgets' worksheet, the results of what you entered into Worksheets 1) and 2); and you are provided the opportunity to change values for your system if you want, following the instructions on that worksheet.</t>
  </si>
  <si>
    <t>Note: there are three auxiliary worksheets that can help you with determining the number of IPRS/RW cells for your pond volume (see 'IPRS Facility Calculator'), number of fish to stock per RW cell (see 'Stocking'), and how much to feed each cell (see 'Feeding').</t>
  </si>
  <si>
    <t>INVESTMENT AND DEPRECIATION</t>
  </si>
  <si>
    <t>Purpose: for a good estimate of potential profit or loss, it is important to enter IPRS capital, machinery and equipment items for your situation.</t>
  </si>
  <si>
    <t>INSTRUCTIONS:</t>
  </si>
  <si>
    <t>Number of crops per year, potentially*</t>
  </si>
  <si>
    <t>*depends on location, temperature and availability of fingerlings</t>
  </si>
  <si>
    <t>To obtain a good estimate of your projected IPRS system you will need to fill out the following 'Investment and Depreciation' worksheet, and along with the completed 'Area Production Economic Information' worksheet, you will have a good estimate of your system's production and profitability.</t>
  </si>
  <si>
    <t>Standard RW to Build, number</t>
  </si>
  <si>
    <t>As you fill out the 'IPRS Budget Generator' table below, remember the YELLOW and GREEN means:</t>
  </si>
  <si>
    <t>Pond surface area, ha</t>
  </si>
  <si>
    <t>You can change values and text in the YELLOW cells (RED font) to reflect your situation, and</t>
  </si>
  <si>
    <t>You can view the results in the GREEN cells (which are automatically calculated)</t>
  </si>
  <si>
    <t>Begin by entering your major investment item's cost by inserting values in the YELLOW cells below.</t>
  </si>
  <si>
    <t>This table below assumes annual capital costs are calculated using a straight line depreciation method. Put in the cost for each item (Column C) and the number required (Column D). The years of use (Column F) allows you to enter the productive period you expect to get from each capital or machinery/equipment item. If you are not sure, you can leave the 'Years of Use' value as it is.  Likewise, for the salvage value (Column G).  You can either leave it at zero ('-') or enter a value you think you can sell the item for once the 'Years of Use' term has been reached.  We have defaulted to a Zero amount for the Salvage Value. A few rows have been left blank below for you to enter additional items that you have but we have not specifically listed.</t>
  </si>
  <si>
    <t>Capital Costs</t>
  </si>
  <si>
    <t>Unit</t>
  </si>
  <si>
    <t>Cost / Unit</t>
  </si>
  <si>
    <t>Number</t>
  </si>
  <si>
    <t>Total cost</t>
  </si>
  <si>
    <t>% of Total Cost</t>
  </si>
  <si>
    <t>Years of Use</t>
  </si>
  <si>
    <t>Salvage value</t>
  </si>
  <si>
    <t>Depreciation Cost/year</t>
  </si>
  <si>
    <t>% of Total Depreciation Cost</t>
  </si>
  <si>
    <r>
      <t xml:space="preserve">Land Cost or Land use cost </t>
    </r>
    <r>
      <rPr>
        <b/>
        <sz val="12"/>
        <color theme="1"/>
        <rFont val="Calibri"/>
        <family val="2"/>
      </rPr>
      <t>(if purchased enter here, if rented put into '2) Area Prod Econ info' worksheet)</t>
    </r>
  </si>
  <si>
    <t>ha</t>
  </si>
  <si>
    <t>Pond construction</t>
  </si>
  <si>
    <t>Pond reconfiguration</t>
  </si>
  <si>
    <t>Water system</t>
  </si>
  <si>
    <t>each</t>
  </si>
  <si>
    <t>Utility electricity</t>
  </si>
  <si>
    <t>Road reconfiguration</t>
  </si>
  <si>
    <t>km</t>
  </si>
  <si>
    <t>Feed storage building/facility/bin</t>
  </si>
  <si>
    <t>Raceway system components</t>
  </si>
  <si>
    <t>total</t>
  </si>
  <si>
    <t xml:space="preserve">  - Raceway WALL construction materials</t>
  </si>
  <si>
    <t>raceway</t>
  </si>
  <si>
    <t xml:space="preserve">  - Raceway FLOOR construction materials</t>
  </si>
  <si>
    <t>m3</t>
  </si>
  <si>
    <t>Concrete / cement (5 m x 30 m x 0.1 m = 15 m3)</t>
  </si>
  <si>
    <t xml:space="preserve">  - Raceway fish confinement gates</t>
  </si>
  <si>
    <t>3 per RW</t>
  </si>
  <si>
    <t xml:space="preserve">  - Raceway walkways, front and rear, fixed</t>
  </si>
  <si>
    <t>2 per RW</t>
  </si>
  <si>
    <t>Baffle curtain/fence/earthworks</t>
  </si>
  <si>
    <t>1 per pond</t>
  </si>
  <si>
    <t>Waste collection system and associated gear</t>
  </si>
  <si>
    <t xml:space="preserve">  - On-shore vessels for receiving solid wastes*</t>
  </si>
  <si>
    <t>3 per pond</t>
  </si>
  <si>
    <t>1 primary, 1 secondary and 1 polishing vessel = 3</t>
  </si>
  <si>
    <t xml:space="preserve">  - Pumps for getting wastes out of on-shore vessel</t>
  </si>
  <si>
    <t xml:space="preserve">  - Electrical service for waste collection system</t>
  </si>
  <si>
    <t>Labor Costs (Assembly, Commissioning, and Construction)</t>
  </si>
  <si>
    <t>Subtotal Capital Items</t>
  </si>
  <si>
    <t>Machinery and Equipment Costs</t>
  </si>
  <si>
    <t>% of total cost</t>
  </si>
  <si>
    <t>Feeding equipment</t>
  </si>
  <si>
    <t>one sum</t>
  </si>
  <si>
    <t xml:space="preserve">  - Scoop/bucket</t>
  </si>
  <si>
    <t xml:space="preserve">  - Programmable feeders</t>
  </si>
  <si>
    <t xml:space="preserve">  - Video and surveillance equipment</t>
  </si>
  <si>
    <t>Water chemistry kit/buoy/platform</t>
  </si>
  <si>
    <t>Whitewater units (WWU), minus the blower</t>
  </si>
  <si>
    <t>per pond</t>
  </si>
  <si>
    <t xml:space="preserve">   - Blowers* </t>
  </si>
  <si>
    <t>* Blowers for WWU in RW (3), in pond (3), supplementary (1) and spare (1)</t>
  </si>
  <si>
    <t xml:space="preserve">   - Spare diffuser tubing and miscellaneous associated items</t>
  </si>
  <si>
    <t>Harvesting gear</t>
  </si>
  <si>
    <t>Fingerling culture equipment</t>
  </si>
  <si>
    <t>Auto-start generator</t>
  </si>
  <si>
    <t>Dissolved oxygen meter</t>
  </si>
  <si>
    <t>Microscope</t>
  </si>
  <si>
    <t>Vehicles</t>
  </si>
  <si>
    <t>Scales</t>
  </si>
  <si>
    <t>Miscellaneous tools and hardware</t>
  </si>
  <si>
    <t>Labor Costs (for installation of equipment/machinery items)</t>
  </si>
  <si>
    <t>Other item</t>
  </si>
  <si>
    <t xml:space="preserve">  Subtotal Machinery and Equipment</t>
  </si>
  <si>
    <t>TOTAL</t>
  </si>
  <si>
    <t>IPRS AREA, PRODUCTION AND ECONOMIC INFORMATION to enter</t>
  </si>
  <si>
    <t>By filling in the following yellow cells, you will create a summary of your projected IPRS production system, which can be found at the bottom of these input cells. It will tell you the total investment, associated depreciation, number of IPRS units you can put into your pond size, production and sales, input (or variable) costs, total costs, net income, cost per harvested kg of fish, cost per unit gain, and Return On Investment (ROI).</t>
  </si>
  <si>
    <t>1) You can change values and text in the YELLOW cells (RED font) to reflect your situation, and</t>
  </si>
  <si>
    <t>2) You can view the results in the GREEN cells (which are automatically calculated)</t>
  </si>
  <si>
    <t>Begin by entering you pond dimensions and enter information in all YELLOW cells below.</t>
  </si>
  <si>
    <t>Pond Size and Water Volume</t>
  </si>
  <si>
    <t>Average Water Depth of RW wall</t>
  </si>
  <si>
    <t>m</t>
  </si>
  <si>
    <t>Pond Width</t>
  </si>
  <si>
    <t>Pond Length</t>
  </si>
  <si>
    <t>Pond Volume</t>
  </si>
  <si>
    <t>Pond Surface Area</t>
  </si>
  <si>
    <t>Raceway Growing Volume</t>
  </si>
  <si>
    <t>Water Depth</t>
  </si>
  <si>
    <t>Width</t>
  </si>
  <si>
    <t>Length</t>
  </si>
  <si>
    <t>Standard RW Units to Build</t>
  </si>
  <si>
    <t>Total RW Growing Volume</t>
  </si>
  <si>
    <t>Standard RW to Build</t>
  </si>
  <si>
    <r>
      <t xml:space="preserve">NOTE: IF THE </t>
    </r>
    <r>
      <rPr>
        <b/>
        <u/>
        <sz val="16"/>
        <color theme="1"/>
        <rFont val="Calibri"/>
        <family val="2"/>
        <scheme val="minor"/>
      </rPr>
      <t>NUMBER OF RWs TO BUILD IS 1</t>
    </r>
    <r>
      <rPr>
        <b/>
        <sz val="16"/>
        <color theme="1"/>
        <rFont val="Calibri"/>
        <family val="2"/>
        <scheme val="minor"/>
      </rPr>
      <t xml:space="preserve">, THEN ONLY LOOK AT RESULTS IN </t>
    </r>
    <r>
      <rPr>
        <b/>
        <u/>
        <sz val="16"/>
        <color theme="1"/>
        <rFont val="Calibri"/>
        <family val="2"/>
        <scheme val="minor"/>
      </rPr>
      <t>CELL # 1 COLUMN BELOW</t>
    </r>
    <r>
      <rPr>
        <b/>
        <sz val="16"/>
        <color theme="1"/>
        <rFont val="Calibri"/>
        <family val="2"/>
        <scheme val="minor"/>
      </rPr>
      <t>; AND IGNORE CELL #2 AND CELL #3 COLUMNS</t>
    </r>
  </si>
  <si>
    <r>
      <t xml:space="preserve">NOTE: IF THE </t>
    </r>
    <r>
      <rPr>
        <b/>
        <u/>
        <sz val="16"/>
        <color theme="1"/>
        <rFont val="Calibri"/>
        <family val="2"/>
        <scheme val="minor"/>
      </rPr>
      <t>NUMBER OF RWs TO BUILD IS 2</t>
    </r>
    <r>
      <rPr>
        <b/>
        <sz val="16"/>
        <color theme="1"/>
        <rFont val="Calibri"/>
        <family val="2"/>
        <scheme val="minor"/>
      </rPr>
      <t xml:space="preserve">, THEN ONLY LOOK AT </t>
    </r>
    <r>
      <rPr>
        <b/>
        <u/>
        <sz val="16"/>
        <color theme="1"/>
        <rFont val="Calibri"/>
        <family val="2"/>
        <scheme val="minor"/>
      </rPr>
      <t>RESULTS IN CELL # 1 AND CELL #2 COLUMNS BELOW</t>
    </r>
    <r>
      <rPr>
        <b/>
        <sz val="16"/>
        <color theme="1"/>
        <rFont val="Calibri"/>
        <family val="2"/>
        <scheme val="minor"/>
      </rPr>
      <t>; AND IGNORE CELL #3 COLUMN</t>
    </r>
  </si>
  <si>
    <r>
      <t xml:space="preserve">NOTE: IF THE </t>
    </r>
    <r>
      <rPr>
        <b/>
        <u/>
        <sz val="16"/>
        <color theme="1"/>
        <rFont val="Calibri"/>
        <family val="2"/>
        <scheme val="minor"/>
      </rPr>
      <t>NUMBER OF RWs TO BUILD IS 3</t>
    </r>
    <r>
      <rPr>
        <b/>
        <sz val="16"/>
        <color theme="1"/>
        <rFont val="Calibri"/>
        <family val="2"/>
        <scheme val="minor"/>
      </rPr>
      <t>, THEN LOOK AT RESULTS IN CELL # 1, CELL #2 AND CELL #3 COLUMNS BELOW.</t>
    </r>
  </si>
  <si>
    <t>Instruction: if your pond volume is sufficient for more than one raceway cell, then enter information for Cells #2 and/or Cell #3 in the provided columns below.</t>
  </si>
  <si>
    <t>Production</t>
  </si>
  <si>
    <t>Cell # 1</t>
  </si>
  <si>
    <t>Cell # 2</t>
  </si>
  <si>
    <t>Cell #3</t>
  </si>
  <si>
    <t>Total for All Cells</t>
  </si>
  <si>
    <t>Fish Species</t>
  </si>
  <si>
    <t>Catfish</t>
  </si>
  <si>
    <t>Production Scenario</t>
  </si>
  <si>
    <t>Growout</t>
  </si>
  <si>
    <t>Stock size, g</t>
  </si>
  <si>
    <t>Stocking number per cell</t>
  </si>
  <si>
    <t>Stocking date*, day-month-year</t>
  </si>
  <si>
    <t>*The first cell of the stagger would be what you consider the first day of the growing season at your location.</t>
  </si>
  <si>
    <t>Survival*, %</t>
  </si>
  <si>
    <t>*The survival rate, days per cycle and harvest size are related, with a change survival rate potentially reducing the size of harvested fish, but more days in the cycle will achieve the targeted harvest size</t>
  </si>
  <si>
    <t xml:space="preserve">Adjusted Stocking number, #/cell </t>
  </si>
  <si>
    <t xml:space="preserve">Adjusted Stocking number, #/m3 </t>
  </si>
  <si>
    <t>Total Stocking weight, kg/cell</t>
  </si>
  <si>
    <t>Days per cycle</t>
  </si>
  <si>
    <t>Harvest date</t>
  </si>
  <si>
    <t>Target harvest size, g/fish</t>
  </si>
  <si>
    <t>Target harvest biomass, kg/m3</t>
  </si>
  <si>
    <t>Growth (end - begin weight), g</t>
  </si>
  <si>
    <t>Specific growth rate*, g/d</t>
  </si>
  <si>
    <t>*To adjust the specific growth rate, you will have to adjust the 'Days per cycle' entry.</t>
  </si>
  <si>
    <t>FCR</t>
  </si>
  <si>
    <t>Total feed fed, kg</t>
  </si>
  <si>
    <t>Percent of #1 feed fed, %</t>
  </si>
  <si>
    <t>Percent of #2 feed fed, %</t>
  </si>
  <si>
    <t>Total production, kg</t>
  </si>
  <si>
    <t>Cell yield, kg/m3</t>
  </si>
  <si>
    <t>Economics</t>
  </si>
  <si>
    <t>Fish Sales Price</t>
  </si>
  <si>
    <t>INPUT PRICES</t>
  </si>
  <si>
    <t>Feed #1, per MT</t>
  </si>
  <si>
    <t>Feed #2, per MT</t>
  </si>
  <si>
    <t>Converted 25 kg bags at $18.00 per bag to $720/MT</t>
  </si>
  <si>
    <t>Fingerlings, per each</t>
  </si>
  <si>
    <t>Transport of harvested fish, per kg</t>
  </si>
  <si>
    <t>*This depends on your operation and if it is your responsibility to pay for this service. If this does not apply, then enter zero.</t>
  </si>
  <si>
    <t>Aeration electricity, per WWU month*</t>
  </si>
  <si>
    <t>*Based on local electrical prices and kilowatt hours</t>
  </si>
  <si>
    <t>Pond rental, per ha</t>
  </si>
  <si>
    <t>*If no rental is required, enter zero</t>
  </si>
  <si>
    <t>RECEIPTS</t>
  </si>
  <si>
    <t>Total</t>
  </si>
  <si>
    <t>Fish Sales</t>
  </si>
  <si>
    <t>INPUT COSTS</t>
  </si>
  <si>
    <t>% of Total Input Costs</t>
  </si>
  <si>
    <t>Feed #1</t>
  </si>
  <si>
    <t>Feed #2</t>
  </si>
  <si>
    <t>Fingerlings</t>
  </si>
  <si>
    <t>Management, actual</t>
  </si>
  <si>
    <t>Hired Labor, actual</t>
  </si>
  <si>
    <t>Fuel and lubricants for generator, actual</t>
  </si>
  <si>
    <t>= (Number of days in crop cycle / 30 days per month) * 2 WWU in use per month</t>
  </si>
  <si>
    <t>* Cost to run WWU for one month</t>
  </si>
  <si>
    <t>= Aeration electricity cost per cycle</t>
  </si>
  <si>
    <t>Electricity for WWU*</t>
  </si>
  <si>
    <t xml:space="preserve">*Aeration electricity = </t>
  </si>
  <si>
    <t>White Water Unit months x</t>
  </si>
  <si>
    <t>WWU cost to run per month =</t>
  </si>
  <si>
    <t>Electricity for RW supplementary aeration*</t>
  </si>
  <si>
    <t>Bird netting or predator protection, actual</t>
  </si>
  <si>
    <t>Chemicals, total, actual</t>
  </si>
  <si>
    <t>Pond rental</t>
  </si>
  <si>
    <t>*Rental cost is divided by the number of RW units in the pond. To zero out pond rental, you would need to enter $0 into the Pond rental input price cell.</t>
  </si>
  <si>
    <t>Electrical meter-months</t>
  </si>
  <si>
    <t>Transport of harvested fish</t>
  </si>
  <si>
    <t>Repairs and maintenance</t>
  </si>
  <si>
    <t>Miscellaneous</t>
  </si>
  <si>
    <t>*Enter your estimated miscellaneous costs here</t>
  </si>
  <si>
    <t xml:space="preserve">  TOTAL INPUT COSTS</t>
  </si>
  <si>
    <t>GENERATED ENTERPRISE BUDGETS</t>
  </si>
  <si>
    <t>Below in Columns A through E is the resulting Enterprise Budget from the information you have provided on your system in the '1) Investment &amp; Depreciation' worksheet and the '2) Area Prod Econ Info' worksheet.</t>
  </si>
  <si>
    <t>If the values in Columns A through E look wrong to you, you may enter you own values in Columns G through I in the TAN colored cells.</t>
  </si>
  <si>
    <t>NOTE: DO NOT ENTER INFO INTO BLUE OR WHITE CELLS IN THIS WORKSHEET</t>
  </si>
  <si>
    <t>NOTE: Items in TAN cells are from the projected Enterprise Budget but can be OVERWRITTEN to fit your calculations and return a budget closer to your operation. WHITE cells will automatically re-calculate after your entries into TAN cells.</t>
  </si>
  <si>
    <t>USA</t>
  </si>
  <si>
    <t>Enterprise Budget for =============&gt;</t>
  </si>
  <si>
    <t>Species Name</t>
  </si>
  <si>
    <t>Total Biomass (weight) initially stocked, kg</t>
  </si>
  <si>
    <t>&lt;== Total Biomass (weight) initially stocked in each Cell</t>
  </si>
  <si>
    <t>Total Biomass (weight) Harvested</t>
  </si>
  <si>
    <t>&lt;== Total Biomass (weight) Harvested in Each Cell</t>
  </si>
  <si>
    <t>Total Investment Cost of Your System</t>
  </si>
  <si>
    <t>&lt;== Total Investment Cost of Your System for Each Cell</t>
  </si>
  <si>
    <t>Notes / Comments</t>
  </si>
  <si>
    <t>INCOME ABOVE VARIABLE COSTS</t>
  </si>
  <si>
    <t>FIXED COSTS</t>
  </si>
  <si>
    <t>Depreciation on Capital Items</t>
  </si>
  <si>
    <t>If in doubt of this value, a general rule is to use 11% of the total Capital Investment</t>
  </si>
  <si>
    <t>Depreciation on Machinery and Equipment</t>
  </si>
  <si>
    <t>If in doubt of this value, a general rule is to use 10% of the total M&amp;E Investment</t>
  </si>
  <si>
    <t xml:space="preserve">  TOTAL DEPRECIATION</t>
  </si>
  <si>
    <t>TOTAL COSTS</t>
  </si>
  <si>
    <t>NET RETURN (Net Income)</t>
  </si>
  <si>
    <t>ROI</t>
  </si>
  <si>
    <t>= Net Return (Net Income) / Total Investment in YOUR pond and RW system</t>
  </si>
  <si>
    <t>Cost per kg of fish harvested</t>
  </si>
  <si>
    <t>= Total Costs / Total Harvested Weight of fish</t>
  </si>
  <si>
    <t>Cost per unit gain</t>
  </si>
  <si>
    <t>= Total Costs / (Ending Fish Biomass - Initial Stocked Biomass)</t>
  </si>
  <si>
    <t>Payback period, years</t>
  </si>
  <si>
    <t>IPRS Facility Planning Calculator</t>
  </si>
  <si>
    <t>Enter New Data in Yellow Cells</t>
  </si>
  <si>
    <t>Calculated Values in Green</t>
  </si>
  <si>
    <t>Pond Size and Water Volume Calculator</t>
  </si>
  <si>
    <t>Average Water Depth</t>
  </si>
  <si>
    <t>Pond A</t>
  </si>
  <si>
    <t>Pond B</t>
  </si>
  <si>
    <t>Your Pond</t>
  </si>
  <si>
    <t>Known Pond Volume</t>
  </si>
  <si>
    <t>x</t>
  </si>
  <si>
    <t>Raceway Size and Growing Volume Calculator</t>
  </si>
  <si>
    <t>Growing Volume</t>
  </si>
  <si>
    <r>
      <rPr>
        <b/>
        <sz val="10"/>
        <color rgb="FFFF0000"/>
        <rFont val="Arial"/>
        <family val="2"/>
      </rPr>
      <t>Standard</t>
    </r>
    <r>
      <rPr>
        <b/>
        <sz val="10"/>
        <color rgb="FF000000"/>
        <rFont val="Arial"/>
        <family val="2"/>
      </rPr>
      <t xml:space="preserve"> Raceway*</t>
    </r>
  </si>
  <si>
    <r>
      <rPr>
        <b/>
        <sz val="10"/>
        <color rgb="FF00B0F0"/>
        <rFont val="Arial"/>
        <family val="2"/>
      </rPr>
      <t>Scaled</t>
    </r>
    <r>
      <rPr>
        <b/>
        <sz val="10"/>
        <color rgb="FF000000"/>
        <rFont val="Arial"/>
        <family val="2"/>
      </rPr>
      <t xml:space="preserve"> Raceway**</t>
    </r>
  </si>
  <si>
    <r>
      <t xml:space="preserve">Balancing </t>
    </r>
    <r>
      <rPr>
        <b/>
        <i/>
        <sz val="10"/>
        <color rgb="FFFF0000"/>
        <rFont val="Arial"/>
        <family val="2"/>
      </rPr>
      <t>Standard</t>
    </r>
    <r>
      <rPr>
        <b/>
        <sz val="10"/>
        <color rgb="FF000000"/>
        <rFont val="Arial"/>
        <family val="2"/>
      </rPr>
      <t xml:space="preserve"> Raceway IPRS Facilities with Pond Size</t>
    </r>
  </si>
  <si>
    <r>
      <rPr>
        <b/>
        <sz val="10"/>
        <color rgb="FFFF0000"/>
        <rFont val="Arial"/>
        <family val="2"/>
      </rPr>
      <t>Standard</t>
    </r>
    <r>
      <rPr>
        <b/>
        <sz val="10"/>
        <color rgb="FF000000"/>
        <rFont val="Arial"/>
        <family val="2"/>
      </rPr>
      <t xml:space="preserve">           RW to Build</t>
    </r>
  </si>
  <si>
    <t>BMP* Ratio                         Grow Vol:Pond Vol</t>
  </si>
  <si>
    <t xml:space="preserve">Your Pond </t>
  </si>
  <si>
    <r>
      <t xml:space="preserve">Balancing </t>
    </r>
    <r>
      <rPr>
        <b/>
        <i/>
        <sz val="10"/>
        <color rgb="FF00B0F0"/>
        <rFont val="Arial"/>
        <family val="2"/>
      </rPr>
      <t>Scaled-Down</t>
    </r>
    <r>
      <rPr>
        <b/>
        <sz val="10"/>
        <color rgb="FF000000"/>
        <rFont val="Arial"/>
        <family val="2"/>
      </rPr>
      <t xml:space="preserve"> Raceway IPRS Facilities with Pond Size</t>
    </r>
  </si>
  <si>
    <r>
      <rPr>
        <b/>
        <sz val="10"/>
        <color rgb="FF00B0F0"/>
        <rFont val="Arial"/>
        <family val="2"/>
      </rPr>
      <t>Scaled</t>
    </r>
    <r>
      <rPr>
        <b/>
        <sz val="10"/>
        <color rgb="FF000000"/>
        <rFont val="Arial"/>
        <family val="2"/>
      </rPr>
      <t xml:space="preserve">             RW to Build</t>
    </r>
  </si>
  <si>
    <t xml:space="preserve"> </t>
  </si>
  <si>
    <r>
      <t xml:space="preserve">* This worksheet is </t>
    </r>
    <r>
      <rPr>
        <b/>
        <sz val="10"/>
        <color rgb="FFFF0000"/>
        <rFont val="Arial"/>
        <family val="2"/>
      </rPr>
      <t>protected</t>
    </r>
    <r>
      <rPr>
        <sz val="10"/>
        <color rgb="FFFF0000"/>
        <rFont val="Arial"/>
        <family val="2"/>
      </rPr>
      <t xml:space="preserve"> as a calculator so that entries can only be put in the yellow cells.</t>
    </r>
  </si>
  <si>
    <t>Fingerling and Stocker Calculator</t>
  </si>
  <si>
    <t>Enter New data in Yellow areas</t>
  </si>
  <si>
    <t xml:space="preserve">Assumptions: </t>
  </si>
  <si>
    <t>1) IPRS is built, sized, and operated according to BMP guidelines, 2) Fish growth rate expectations are relative to the area under study</t>
  </si>
  <si>
    <t>3) Feed is USSEC recommended diets for the species and sizes, 4) Temperate climate</t>
  </si>
  <si>
    <t>Examples</t>
  </si>
  <si>
    <t>Species</t>
  </si>
  <si>
    <t>Location</t>
  </si>
  <si>
    <t>Target biomass density at harvest</t>
  </si>
  <si>
    <t>Target harvest size</t>
  </si>
  <si>
    <t>Volume of raceway cell</t>
  </si>
  <si>
    <t>Estimated Survival</t>
  </si>
  <si>
    <t>Number of fish to stock</t>
  </si>
  <si>
    <t>Raceway Cell</t>
  </si>
  <si>
    <t>Kg/m3</t>
  </si>
  <si>
    <t>Kg</t>
  </si>
  <si>
    <t>percent/100</t>
  </si>
  <si>
    <t xml:space="preserve">Growout </t>
  </si>
  <si>
    <t>Tilapia</t>
  </si>
  <si>
    <t>Egypt</t>
  </si>
  <si>
    <t>Grass Carp</t>
  </si>
  <si>
    <t>China</t>
  </si>
  <si>
    <t>Example - Stocker Dev.</t>
  </si>
  <si>
    <t>Example</t>
  </si>
  <si>
    <t>Other</t>
  </si>
  <si>
    <t xml:space="preserve">Feeding Calculator based on 90% Satiation </t>
  </si>
  <si>
    <t xml:space="preserve">Notes: </t>
  </si>
  <si>
    <t xml:space="preserve">1. Satiation Feeding should be done once every week. More often for small fish, less often for larger fish. </t>
  </si>
  <si>
    <t>2. Feed fish all they will consume in a 10-minute period of time once or twice daily and record the total amount fed.</t>
  </si>
  <si>
    <t>3. Stop feeding if feed reaches the QZ to prevent wastage.</t>
  </si>
  <si>
    <t xml:space="preserve">4. For the next week the daily feed ration can be divided into multiple feedings, which improves FCR. </t>
  </si>
  <si>
    <t>5. Daily feed ratios and feeding notes should be entered to farm records daily.</t>
  </si>
  <si>
    <t xml:space="preserve">6. Refrain from dumping the entire ration into one spot in the raceway, but distribute evenly over the schooling fish. </t>
  </si>
  <si>
    <t>7. Note if feeding activity is slow or reduced, which may indicate water quality or other concerns.</t>
  </si>
  <si>
    <t xml:space="preserve">Daily Feed Ration </t>
  </si>
  <si>
    <t>Weight of Feed to Satiation</t>
  </si>
  <si>
    <t>Number of Feedings</t>
  </si>
  <si>
    <t>Approximate Satiation level</t>
  </si>
  <si>
    <t>percent</t>
  </si>
  <si>
    <t>%</t>
  </si>
  <si>
    <t>Satiation Example Day 1</t>
  </si>
  <si>
    <t>Day 2</t>
  </si>
  <si>
    <t>Day 3</t>
  </si>
  <si>
    <t>Day 4</t>
  </si>
  <si>
    <t>Day 5</t>
  </si>
  <si>
    <t>Day 6</t>
  </si>
  <si>
    <t xml:space="preserve">Satiation Example Day 7 </t>
  </si>
  <si>
    <t>Enter Day 1</t>
  </si>
  <si>
    <t>Day 2-6</t>
  </si>
  <si>
    <t>98-90</t>
  </si>
  <si>
    <t>Enter Day 7</t>
  </si>
  <si>
    <t>Feeding Calculator based on Percent Total Biomass Daily (or Percent Body Weight Daily %BWD)</t>
  </si>
  <si>
    <t>Use this calculator to determine the daily feed ration based on feeding a percent of the estimated body weight (or total biomass) of the crop.</t>
  </si>
  <si>
    <t>Pond/Raceway Cell</t>
  </si>
  <si>
    <t>Number of</t>
  </si>
  <si>
    <t xml:space="preserve">Estimated </t>
  </si>
  <si>
    <t>Estimated Avg.</t>
  </si>
  <si>
    <t>Total biomass</t>
  </si>
  <si>
    <t>Percent of Total Biomass (or Body Weight)</t>
  </si>
  <si>
    <t>Fish Stocked</t>
  </si>
  <si>
    <t>Survival</t>
  </si>
  <si>
    <t>Weight Each</t>
  </si>
  <si>
    <t>(Body Weight)</t>
  </si>
  <si>
    <t>Example 1</t>
  </si>
  <si>
    <t>Example 2</t>
  </si>
  <si>
    <t>A</t>
  </si>
  <si>
    <t xml:space="preserve"> -   </t>
  </si>
  <si>
    <t>B</t>
  </si>
  <si>
    <t>C</t>
  </si>
  <si>
    <r>
      <t xml:space="preserve">Note: </t>
    </r>
    <r>
      <rPr>
        <sz val="10"/>
        <color rgb="FF000000"/>
        <rFont val="Arial"/>
        <family val="2"/>
      </rPr>
      <t xml:space="preserve">To feed BWD percentages greater than 5% add two columns. For example, to feed 7% BWD add the 4% ration and the 3% ration. </t>
    </r>
  </si>
  <si>
    <t>Total Feed Burden for Ponds Calculator</t>
  </si>
  <si>
    <t>Use this calculator to determine the Total Daily Feed Burden per Area of Pond</t>
  </si>
  <si>
    <r>
      <t xml:space="preserve">Note: BMP for Maximum Feed Burden is </t>
    </r>
    <r>
      <rPr>
        <b/>
        <u/>
        <sz val="10"/>
        <color rgb="FF000000"/>
        <rFont val="Arial"/>
        <family val="2"/>
      </rPr>
      <t>XX</t>
    </r>
    <r>
      <rPr>
        <sz val="10"/>
        <color rgb="FF000000"/>
        <rFont val="Arial"/>
        <family val="2"/>
      </rPr>
      <t xml:space="preserve"> Kilograms feed per Hectare per Day (Kg/ha/d)</t>
    </r>
  </si>
  <si>
    <t>Total Surface Area of the Pond</t>
  </si>
  <si>
    <t>Total Weight of all Raceways Daily Feed Rations</t>
  </si>
  <si>
    <t>Total Feed Weight per Pond Area</t>
  </si>
  <si>
    <t>Ha</t>
  </si>
  <si>
    <t>Kg/Ha</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</si>
</sst>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43" formatCode="_(* #,##0.00_);_(* \(#,##0.00\);_(* &quot;-&quot;??_);_(@_)"/>
    <numFmt numFmtId="164" formatCode="_(* #,##0_);_(* \(#,##0\);_(* &quot;-&quot;??_);_(@_)"/>
    <numFmt numFmtId="165" formatCode="0.0"/>
    <numFmt numFmtId="166" formatCode="0.000"/>
    <numFmt numFmtId="167" formatCode="#,##0.0"/>
    <numFmt numFmtId="168" formatCode="_(&quot;$&quot;* #,##0_);_(&quot;$&quot;* \(#,##0\);_(&quot;$&quot;* &quot;-&quot;??_);_(@_)"/>
    <numFmt numFmtId="169" formatCode="[$-409]d\-mmm\-yy;@"/>
    <numFmt numFmtId="170" formatCode="_(&quot;$&quot;* #,##0.000_);_(&quot;$&quot;* \(#,##0.000\);_(&quot;$&quot;* &quot;-&quot;??_);_(@_)"/>
  </numFmts>
  <fonts count="45" x14ac:knownFonts="1">
    <font>
      <sz val="11"/>
      <color theme="1"/>
      <name val="Calibri"/>
      <family val="2"/>
      <scheme val="minor"/>
    </font>
    <font>
      <sz val="11"/>
      <color theme="1"/>
      <name val="Calibri"/>
      <family val="2"/>
      <scheme val="minor"/>
    </font>
    <font>
      <b/>
      <sz val="14"/>
      <color indexed="8"/>
      <name val="Calibri"/>
      <family val="2"/>
    </font>
    <font>
      <b/>
      <sz val="12"/>
      <color indexed="8"/>
      <name val="Calibri"/>
      <family val="2"/>
    </font>
    <font>
      <sz val="14"/>
      <color theme="1"/>
      <name val="Calibri"/>
      <family val="2"/>
      <scheme val="minor"/>
    </font>
    <font>
      <sz val="12"/>
      <color indexed="8"/>
      <name val="Calibri"/>
      <family val="2"/>
    </font>
    <font>
      <sz val="12"/>
      <color theme="1"/>
      <name val="Calibri"/>
      <family val="2"/>
      <scheme val="minor"/>
    </font>
    <font>
      <sz val="12"/>
      <name val="Calibri"/>
      <family val="2"/>
    </font>
    <font>
      <sz val="10"/>
      <name val="Arial"/>
      <family val="2"/>
    </font>
    <font>
      <b/>
      <sz val="12"/>
      <name val="Calibri"/>
      <family val="2"/>
    </font>
    <font>
      <b/>
      <sz val="10"/>
      <color rgb="FF000000"/>
      <name val="Arial"/>
      <family val="2"/>
    </font>
    <font>
      <b/>
      <sz val="10"/>
      <name val="Arial"/>
      <family val="2"/>
    </font>
    <font>
      <sz val="10"/>
      <color rgb="FF000000"/>
      <name val="Arial"/>
      <family val="2"/>
    </font>
    <font>
      <b/>
      <sz val="10"/>
      <color rgb="FFFF0000"/>
      <name val="Arial"/>
      <family val="2"/>
    </font>
    <font>
      <b/>
      <sz val="10"/>
      <color rgb="FF00B0F0"/>
      <name val="Arial"/>
      <family val="2"/>
    </font>
    <font>
      <b/>
      <i/>
      <sz val="10"/>
      <color rgb="FFFF0000"/>
      <name val="Arial"/>
      <family val="2"/>
    </font>
    <font>
      <b/>
      <i/>
      <sz val="10"/>
      <color rgb="FF00B0F0"/>
      <name val="Arial"/>
      <family val="2"/>
    </font>
    <font>
      <sz val="10"/>
      <color rgb="FFFF0000"/>
      <name val="Arial"/>
      <family val="2"/>
    </font>
    <font>
      <sz val="12"/>
      <color rgb="FF000000"/>
      <name val="Calibri"/>
      <family val="2"/>
      <scheme val="minor"/>
    </font>
    <font>
      <b/>
      <sz val="12"/>
      <color theme="1"/>
      <name val="Calibri"/>
      <family val="2"/>
    </font>
    <font>
      <b/>
      <sz val="14"/>
      <color theme="1"/>
      <name val="Calibri"/>
      <family val="2"/>
    </font>
    <font>
      <b/>
      <sz val="12"/>
      <color rgb="FF000000"/>
      <name val="Calibri"/>
      <family val="2"/>
      <scheme val="minor"/>
    </font>
    <font>
      <b/>
      <sz val="12"/>
      <color theme="1"/>
      <name val="Calibri"/>
      <family val="2"/>
      <scheme val="minor"/>
    </font>
    <font>
      <b/>
      <sz val="10"/>
      <color theme="1"/>
      <name val="Arial"/>
      <family val="2"/>
    </font>
    <font>
      <sz val="12"/>
      <color theme="1"/>
      <name val="Calibri"/>
      <family val="2"/>
    </font>
    <font>
      <b/>
      <sz val="11"/>
      <color theme="1"/>
      <name val="Calibri"/>
      <family val="2"/>
      <scheme val="minor"/>
    </font>
    <font>
      <b/>
      <u/>
      <sz val="10"/>
      <color rgb="FF000000"/>
      <name val="Arial"/>
      <family val="2"/>
    </font>
    <font>
      <b/>
      <sz val="14"/>
      <color theme="1"/>
      <name val="Calibri"/>
      <family val="2"/>
      <scheme val="minor"/>
    </font>
    <font>
      <sz val="12"/>
      <name val="Arial"/>
      <family val="2"/>
    </font>
    <font>
      <b/>
      <sz val="14"/>
      <name val="Calibri"/>
      <family val="2"/>
    </font>
    <font>
      <sz val="12"/>
      <name val="Calibri"/>
      <family val="2"/>
      <scheme val="minor"/>
    </font>
    <font>
      <sz val="12"/>
      <color indexed="8"/>
      <name val="Calibri"/>
      <family val="2"/>
      <scheme val="minor"/>
    </font>
    <font>
      <b/>
      <sz val="12"/>
      <name val="Calibri"/>
      <family val="2"/>
      <scheme val="minor"/>
    </font>
    <font>
      <b/>
      <sz val="12"/>
      <color rgb="FFFF0000"/>
      <name val="Calibri"/>
      <family val="2"/>
    </font>
    <font>
      <b/>
      <sz val="12"/>
      <color rgb="FFFF0000"/>
      <name val="Calibri"/>
      <family val="2"/>
      <scheme val="minor"/>
    </font>
    <font>
      <b/>
      <sz val="16"/>
      <color theme="1"/>
      <name val="Calibri"/>
      <family val="2"/>
      <scheme val="minor"/>
    </font>
    <font>
      <b/>
      <u/>
      <sz val="16"/>
      <color theme="1"/>
      <name val="Calibri"/>
      <family val="2"/>
      <scheme val="minor"/>
    </font>
    <font>
      <b/>
      <sz val="18"/>
      <color theme="1"/>
      <name val="Calibri"/>
      <family val="2"/>
      <scheme val="minor"/>
    </font>
    <font>
      <b/>
      <sz val="18"/>
      <color indexed="8"/>
      <name val="Calibri"/>
      <family val="2"/>
    </font>
    <font>
      <sz val="18"/>
      <color theme="1"/>
      <name val="Calibri"/>
      <family val="2"/>
      <scheme val="minor"/>
    </font>
    <font>
      <b/>
      <sz val="18"/>
      <color rgb="FF000000"/>
      <name val="Arial"/>
      <family val="2"/>
    </font>
    <font>
      <b/>
      <sz val="16"/>
      <color indexed="8"/>
      <name val="Calibri"/>
      <family val="2"/>
    </font>
    <font>
      <sz val="12"/>
      <color rgb="FFFF0000"/>
      <name val="Calibri"/>
      <family val="2"/>
      <scheme val="minor"/>
    </font>
    <font>
      <sz val="12"/>
      <color rgb="FFFF0000"/>
      <name val="Calibri"/>
      <family val="2"/>
    </font>
    <font>
      <b/>
      <sz val="11"/>
      <name val="Calibri"/>
      <family val="2"/>
      <scheme val="minor"/>
    </font>
  </fonts>
  <fills count="18">
    <fill>
      <patternFill patternType="none"/>
    </fill>
    <fill>
      <patternFill patternType="gray125"/>
    </fill>
    <fill>
      <patternFill patternType="solid">
        <fgColor theme="2" tint="-0.249977111117893"/>
        <bgColor indexed="64"/>
      </patternFill>
    </fill>
    <fill>
      <patternFill patternType="solid">
        <fgColor rgb="FFFFFFCC"/>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rgb="FFC4BD97"/>
        <bgColor rgb="FF000000"/>
      </patternFill>
    </fill>
    <fill>
      <patternFill patternType="solid">
        <fgColor rgb="FFDDD9C4"/>
        <bgColor rgb="FF000000"/>
      </patternFill>
    </fill>
    <fill>
      <patternFill patternType="solid">
        <fgColor rgb="FFFFFFCC"/>
        <bgColor rgb="FF000000"/>
      </patternFill>
    </fill>
    <fill>
      <patternFill patternType="solid">
        <fgColor rgb="FFCCFFCC"/>
        <bgColor rgb="FF000000"/>
      </patternFill>
    </fill>
    <fill>
      <patternFill patternType="solid">
        <fgColor theme="9" tint="0.79998168889431442"/>
        <bgColor indexed="64"/>
      </patternFill>
    </fill>
    <fill>
      <patternFill patternType="solid">
        <fgColor rgb="FFFFC00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xf numFmtId="43" fontId="8" fillId="0" borderId="0" applyFont="0" applyFill="0" applyBorder="0" applyAlignment="0" applyProtection="0"/>
  </cellStyleXfs>
  <cellXfs count="394">
    <xf numFmtId="0" fontId="0" fillId="0" borderId="0" xfId="0"/>
    <xf numFmtId="0" fontId="3" fillId="0" borderId="0" xfId="0" applyFont="1" applyAlignment="1">
      <alignment horizontal="center"/>
    </xf>
    <xf numFmtId="0" fontId="3" fillId="0" borderId="0" xfId="0" applyFont="1" applyAlignment="1">
      <alignment horizontal="left" wrapText="1"/>
    </xf>
    <xf numFmtId="0" fontId="5" fillId="0" borderId="0" xfId="0" applyFont="1"/>
    <xf numFmtId="0" fontId="10" fillId="3" borderId="5" xfId="0" applyFont="1" applyFill="1" applyBorder="1"/>
    <xf numFmtId="0" fontId="10" fillId="0" borderId="0" xfId="0" applyFont="1" applyAlignment="1">
      <alignment horizontal="center"/>
    </xf>
    <xf numFmtId="0" fontId="0" fillId="0" borderId="10" xfId="0" applyBorder="1" applyAlignment="1">
      <alignment wrapText="1"/>
    </xf>
    <xf numFmtId="0" fontId="11" fillId="0" borderId="0" xfId="0" applyFont="1" applyAlignment="1">
      <alignment wrapText="1"/>
    </xf>
    <xf numFmtId="0" fontId="11" fillId="0" borderId="11" xfId="0" applyFont="1" applyBorder="1" applyAlignment="1">
      <alignment wrapText="1"/>
    </xf>
    <xf numFmtId="0" fontId="10" fillId="0" borderId="0" xfId="0" applyFont="1" applyAlignment="1">
      <alignment vertical="center" wrapText="1"/>
    </xf>
    <xf numFmtId="0" fontId="10" fillId="0" borderId="10" xfId="0" applyFont="1" applyBorder="1"/>
    <xf numFmtId="0" fontId="11" fillId="0" borderId="0" xfId="0" applyFont="1"/>
    <xf numFmtId="0" fontId="11" fillId="0" borderId="11" xfId="0" applyFont="1" applyBorder="1"/>
    <xf numFmtId="0" fontId="10" fillId="0" borderId="0" xfId="0" applyFont="1"/>
    <xf numFmtId="0" fontId="12" fillId="0" borderId="10" xfId="0" applyFont="1" applyBorder="1"/>
    <xf numFmtId="0" fontId="8" fillId="0" borderId="0" xfId="0" applyFont="1"/>
    <xf numFmtId="165" fontId="0" fillId="0" borderId="0" xfId="0" applyNumberFormat="1"/>
    <xf numFmtId="0" fontId="10" fillId="0" borderId="14" xfId="0" applyFont="1" applyBorder="1"/>
    <xf numFmtId="0" fontId="12" fillId="0" borderId="0" xfId="0" applyFont="1"/>
    <xf numFmtId="0" fontId="12" fillId="0" borderId="10" xfId="0" applyFont="1" applyBorder="1" applyAlignment="1">
      <alignment wrapText="1"/>
    </xf>
    <xf numFmtId="0" fontId="10" fillId="0" borderId="0" xfId="0" applyFont="1" applyAlignment="1">
      <alignment wrapText="1"/>
    </xf>
    <xf numFmtId="0" fontId="0" fillId="0" borderId="0" xfId="0" applyAlignment="1">
      <alignment wrapText="1"/>
    </xf>
    <xf numFmtId="0" fontId="11" fillId="0" borderId="0" xfId="0" applyFont="1" applyAlignment="1">
      <alignment horizontal="center"/>
    </xf>
    <xf numFmtId="0" fontId="11" fillId="0" borderId="11" xfId="0" applyFont="1" applyBorder="1" applyAlignment="1">
      <alignment horizontal="center" wrapText="1"/>
    </xf>
    <xf numFmtId="0" fontId="11" fillId="0" borderId="0" xfId="0" applyFont="1" applyAlignment="1">
      <alignment horizontal="center" wrapText="1"/>
    </xf>
    <xf numFmtId="0" fontId="10" fillId="0" borderId="0" xfId="0" applyFont="1" applyAlignment="1">
      <alignment horizontal="center" wrapText="1"/>
    </xf>
    <xf numFmtId="0" fontId="10" fillId="0" borderId="11" xfId="0" applyFont="1" applyBorder="1" applyAlignment="1">
      <alignment horizontal="center" wrapText="1"/>
    </xf>
    <xf numFmtId="0" fontId="10" fillId="0" borderId="11" xfId="0" applyFont="1" applyBorder="1" applyAlignment="1">
      <alignment wrapText="1"/>
    </xf>
    <xf numFmtId="10" fontId="10" fillId="0" borderId="0" xfId="0" applyNumberFormat="1" applyFont="1" applyAlignment="1">
      <alignment horizontal="center"/>
    </xf>
    <xf numFmtId="0" fontId="10" fillId="0" borderId="11" xfId="0" applyFont="1" applyBorder="1"/>
    <xf numFmtId="164" fontId="8" fillId="0" borderId="0" xfId="1" applyNumberFormat="1" applyFont="1" applyFill="1" applyBorder="1" applyAlignment="1"/>
    <xf numFmtId="0" fontId="17" fillId="0" borderId="0" xfId="0" applyFont="1"/>
    <xf numFmtId="165" fontId="8" fillId="0" borderId="0" xfId="0" applyNumberFormat="1" applyFont="1"/>
    <xf numFmtId="166" fontId="8" fillId="0" borderId="0" xfId="0" applyNumberFormat="1" applyFont="1"/>
    <xf numFmtId="0" fontId="12" fillId="0" borderId="0" xfId="0" applyFont="1" applyAlignment="1">
      <alignment horizontal="left"/>
    </xf>
    <xf numFmtId="0" fontId="0" fillId="0" borderId="0" xfId="0" applyAlignment="1">
      <alignment horizontal="center"/>
    </xf>
    <xf numFmtId="0" fontId="12" fillId="0" borderId="0" xfId="0" applyFont="1" applyAlignment="1">
      <alignment horizontal="center"/>
    </xf>
    <xf numFmtId="164" fontId="0" fillId="0" borderId="0" xfId="1" applyNumberFormat="1" applyFont="1" applyAlignment="1"/>
    <xf numFmtId="164" fontId="0" fillId="4" borderId="5" xfId="1" applyNumberFormat="1" applyFont="1" applyFill="1" applyBorder="1" applyAlignment="1"/>
    <xf numFmtId="49" fontId="8" fillId="0" borderId="0" xfId="0" applyNumberFormat="1" applyFont="1"/>
    <xf numFmtId="0" fontId="19" fillId="0" borderId="0" xfId="0" applyFont="1" applyAlignment="1">
      <alignment horizontal="left"/>
    </xf>
    <xf numFmtId="0" fontId="12" fillId="0" borderId="5" xfId="0" applyFont="1" applyBorder="1" applyAlignment="1">
      <alignment wrapText="1"/>
    </xf>
    <xf numFmtId="0" fontId="12" fillId="0" borderId="5" xfId="0" applyFont="1" applyBorder="1" applyAlignment="1">
      <alignment horizontal="center" wrapText="1"/>
    </xf>
    <xf numFmtId="0" fontId="12" fillId="0" borderId="0" xfId="0" applyFont="1" applyAlignment="1">
      <alignment wrapText="1"/>
    </xf>
    <xf numFmtId="0" fontId="12" fillId="0" borderId="5" xfId="0" applyFont="1" applyBorder="1" applyAlignment="1">
      <alignment horizontal="center"/>
    </xf>
    <xf numFmtId="0" fontId="12" fillId="0" borderId="5" xfId="0" applyFont="1" applyBorder="1"/>
    <xf numFmtId="0" fontId="12" fillId="10" borderId="5" xfId="0" applyFont="1" applyFill="1" applyBorder="1"/>
    <xf numFmtId="0" fontId="12" fillId="11" borderId="5" xfId="0" applyFont="1" applyFill="1" applyBorder="1"/>
    <xf numFmtId="9" fontId="12" fillId="0" borderId="5" xfId="0" applyNumberFormat="1" applyFont="1" applyBorder="1" applyAlignment="1">
      <alignment horizontal="center"/>
    </xf>
    <xf numFmtId="3" fontId="12" fillId="0" borderId="5" xfId="0" applyNumberFormat="1" applyFont="1" applyBorder="1"/>
    <xf numFmtId="9" fontId="12" fillId="0" borderId="5" xfId="0" applyNumberFormat="1" applyFont="1" applyBorder="1"/>
    <xf numFmtId="0" fontId="3" fillId="0" borderId="0" xfId="0" applyFont="1" applyAlignment="1">
      <alignment horizontal="center" wrapText="1"/>
    </xf>
    <xf numFmtId="0" fontId="5" fillId="0" borderId="0" xfId="0" applyFont="1" applyAlignment="1">
      <alignment horizontal="left" wrapText="1"/>
    </xf>
    <xf numFmtId="168" fontId="3" fillId="0" borderId="0" xfId="2" applyNumberFormat="1" applyFont="1" applyFill="1" applyBorder="1" applyAlignment="1">
      <alignment horizontal="center" wrapText="1"/>
    </xf>
    <xf numFmtId="9" fontId="7" fillId="0" borderId="0" xfId="0" applyNumberFormat="1" applyFont="1" applyAlignment="1">
      <alignment horizontal="center"/>
    </xf>
    <xf numFmtId="9" fontId="3" fillId="0" borderId="0" xfId="0" applyNumberFormat="1" applyFont="1" applyAlignment="1">
      <alignment horizontal="center"/>
    </xf>
    <xf numFmtId="0" fontId="6" fillId="7" borderId="0" xfId="0" applyFont="1" applyFill="1"/>
    <xf numFmtId="4" fontId="24" fillId="7" borderId="0" xfId="0" applyNumberFormat="1" applyFont="1" applyFill="1" applyAlignment="1">
      <alignment horizontal="right"/>
    </xf>
    <xf numFmtId="4" fontId="24" fillId="0" borderId="0" xfId="0" applyNumberFormat="1" applyFont="1" applyAlignment="1">
      <alignment horizontal="right"/>
    </xf>
    <xf numFmtId="0" fontId="6" fillId="7" borderId="0" xfId="0" applyFont="1" applyFill="1" applyAlignment="1">
      <alignment horizontal="left" wrapText="1"/>
    </xf>
    <xf numFmtId="4" fontId="6" fillId="7" borderId="0" xfId="0" applyNumberFormat="1" applyFont="1" applyFill="1" applyAlignment="1">
      <alignment horizontal="right"/>
    </xf>
    <xf numFmtId="0" fontId="30" fillId="7" borderId="0" xfId="0" applyFont="1" applyFill="1" applyAlignment="1">
      <alignment wrapText="1"/>
    </xf>
    <xf numFmtId="167" fontId="6" fillId="0" borderId="0" xfId="1" applyNumberFormat="1" applyFont="1" applyFill="1" applyBorder="1" applyAlignment="1"/>
    <xf numFmtId="0" fontId="31" fillId="7" borderId="0" xfId="0" applyFont="1" applyFill="1" applyAlignment="1">
      <alignment horizontal="right"/>
    </xf>
    <xf numFmtId="0" fontId="0" fillId="0" borderId="4" xfId="0" applyBorder="1"/>
    <xf numFmtId="0" fontId="32" fillId="0" borderId="18" xfId="0" applyFont="1" applyBorder="1" applyAlignment="1">
      <alignment wrapText="1"/>
    </xf>
    <xf numFmtId="3" fontId="19" fillId="0" borderId="4" xfId="1" applyNumberFormat="1" applyFont="1" applyFill="1" applyBorder="1" applyAlignment="1"/>
    <xf numFmtId="43" fontId="3" fillId="0" borderId="0" xfId="5" applyFont="1" applyFill="1" applyBorder="1" applyAlignment="1">
      <alignment horizontal="center" wrapText="1"/>
    </xf>
    <xf numFmtId="0" fontId="25" fillId="0" borderId="0" xfId="0" applyFont="1"/>
    <xf numFmtId="0" fontId="7" fillId="0" borderId="0" xfId="0" applyFont="1" applyAlignment="1">
      <alignment wrapText="1"/>
    </xf>
    <xf numFmtId="0" fontId="27"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center"/>
    </xf>
    <xf numFmtId="0" fontId="4" fillId="12" borderId="0" xfId="0" applyFont="1" applyFill="1" applyAlignment="1">
      <alignment horizontal="left" vertical="center" wrapText="1"/>
    </xf>
    <xf numFmtId="0" fontId="37" fillId="0" borderId="0" xfId="0" applyFont="1"/>
    <xf numFmtId="165" fontId="39" fillId="0" borderId="0" xfId="0" applyNumberFormat="1" applyFont="1"/>
    <xf numFmtId="1" fontId="12" fillId="0" borderId="5" xfId="0" applyNumberFormat="1" applyFont="1" applyBorder="1"/>
    <xf numFmtId="0" fontId="10" fillId="0" borderId="5" xfId="0" applyFont="1" applyBorder="1" applyAlignment="1">
      <alignment horizontal="center"/>
    </xf>
    <xf numFmtId="1" fontId="10" fillId="10" borderId="5" xfId="0" applyNumberFormat="1" applyFont="1" applyFill="1" applyBorder="1"/>
    <xf numFmtId="1" fontId="10" fillId="11" borderId="5" xfId="0" applyNumberFormat="1" applyFont="1" applyFill="1" applyBorder="1"/>
    <xf numFmtId="1" fontId="10" fillId="4" borderId="5" xfId="0" applyNumberFormat="1" applyFont="1" applyFill="1" applyBorder="1"/>
    <xf numFmtId="0" fontId="0" fillId="0" borderId="5" xfId="0" applyBorder="1"/>
    <xf numFmtId="0" fontId="0" fillId="0" borderId="5" xfId="0" applyBorder="1" applyAlignment="1">
      <alignment horizontal="right"/>
    </xf>
    <xf numFmtId="0" fontId="12" fillId="0" borderId="5" xfId="0" applyFont="1" applyBorder="1" applyAlignment="1">
      <alignment horizontal="right"/>
    </xf>
    <xf numFmtId="0" fontId="0" fillId="0" borderId="0" xfId="0" applyProtection="1">
      <protection locked="0"/>
    </xf>
    <xf numFmtId="0" fontId="27" fillId="0" borderId="0" xfId="0" applyFont="1"/>
    <xf numFmtId="0" fontId="27" fillId="0" borderId="21" xfId="0" applyFont="1" applyBorder="1"/>
    <xf numFmtId="0" fontId="0" fillId="0" borderId="21" xfId="0" applyBorder="1"/>
    <xf numFmtId="0" fontId="9" fillId="0" borderId="0" xfId="0" applyFont="1"/>
    <xf numFmtId="168" fontId="22" fillId="0" borderId="5" xfId="0" applyNumberFormat="1" applyFont="1" applyBorder="1"/>
    <xf numFmtId="168" fontId="19" fillId="15" borderId="27" xfId="2" applyNumberFormat="1" applyFont="1" applyFill="1" applyBorder="1" applyAlignment="1" applyProtection="1">
      <alignment horizontal="center"/>
      <protection locked="0"/>
    </xf>
    <xf numFmtId="168" fontId="22" fillId="15" borderId="6" xfId="0" applyNumberFormat="1" applyFont="1" applyFill="1" applyBorder="1" applyProtection="1">
      <protection locked="0"/>
    </xf>
    <xf numFmtId="168" fontId="22" fillId="15" borderId="5" xfId="0" applyNumberFormat="1" applyFont="1" applyFill="1" applyBorder="1" applyProtection="1">
      <protection locked="0"/>
    </xf>
    <xf numFmtId="0" fontId="41" fillId="0" borderId="0" xfId="0" applyFont="1" applyAlignment="1">
      <alignment horizontal="left" vertical="center" wrapText="1"/>
    </xf>
    <xf numFmtId="0" fontId="6" fillId="0" borderId="0" xfId="0" applyFont="1"/>
    <xf numFmtId="0" fontId="22" fillId="0" borderId="0" xfId="0" quotePrefix="1" applyFont="1" applyProtection="1">
      <protection locked="0"/>
    </xf>
    <xf numFmtId="0" fontId="28" fillId="0" borderId="18" xfId="0" applyFont="1" applyBorder="1" applyAlignment="1">
      <alignment wrapText="1"/>
    </xf>
    <xf numFmtId="4" fontId="22" fillId="0" borderId="4" xfId="0" applyNumberFormat="1" applyFont="1" applyBorder="1"/>
    <xf numFmtId="0" fontId="35" fillId="0" borderId="0" xfId="0" applyFont="1"/>
    <xf numFmtId="0" fontId="38" fillId="0" borderId="0" xfId="0" applyFont="1" applyAlignment="1">
      <alignment horizontal="left" vertical="center"/>
    </xf>
    <xf numFmtId="0" fontId="3" fillId="13" borderId="0" xfId="0" applyFont="1" applyFill="1" applyAlignment="1">
      <alignment horizontal="center"/>
    </xf>
    <xf numFmtId="0" fontId="0" fillId="13" borderId="0" xfId="0" applyFill="1"/>
    <xf numFmtId="0" fontId="2" fillId="0" borderId="0" xfId="0" applyFont="1" applyAlignment="1">
      <alignment horizontal="left" vertical="center" wrapText="1"/>
    </xf>
    <xf numFmtId="0" fontId="20" fillId="0" borderId="0" xfId="0" applyFont="1"/>
    <xf numFmtId="0" fontId="37" fillId="0" borderId="0" xfId="0" applyFont="1" applyAlignment="1">
      <alignment horizontal="left" vertical="center"/>
    </xf>
    <xf numFmtId="0" fontId="27" fillId="0" borderId="0" xfId="0" applyFont="1" applyAlignment="1">
      <alignment horizontal="left" vertical="center" wrapText="1"/>
    </xf>
    <xf numFmtId="0" fontId="37" fillId="13" borderId="0" xfId="0" applyFont="1" applyFill="1"/>
    <xf numFmtId="0" fontId="27" fillId="13" borderId="0" xfId="0" applyFont="1" applyFill="1" applyAlignment="1">
      <alignment vertical="center" wrapText="1"/>
    </xf>
    <xf numFmtId="0" fontId="27" fillId="13" borderId="0" xfId="0" applyFont="1" applyFill="1" applyAlignment="1">
      <alignment wrapText="1"/>
    </xf>
    <xf numFmtId="9" fontId="9" fillId="0" borderId="0" xfId="0" applyNumberFormat="1" applyFont="1" applyAlignment="1">
      <alignment horizontal="center"/>
    </xf>
    <xf numFmtId="0" fontId="7" fillId="0" borderId="0" xfId="0" applyFont="1"/>
    <xf numFmtId="168" fontId="24" fillId="0" borderId="0" xfId="2" applyNumberFormat="1" applyFont="1" applyFill="1" applyBorder="1" applyAlignment="1" applyProtection="1">
      <alignment horizontal="center"/>
    </xf>
    <xf numFmtId="43" fontId="22" fillId="0" borderId="0" xfId="1" applyFont="1" applyFill="1"/>
    <xf numFmtId="164" fontId="22" fillId="0" borderId="0" xfId="0" applyNumberFormat="1" applyFont="1"/>
    <xf numFmtId="0" fontId="22" fillId="0" borderId="0" xfId="0" applyFont="1"/>
    <xf numFmtId="0" fontId="3" fillId="0" borderId="5" xfId="0" applyFont="1" applyBorder="1" applyAlignment="1">
      <alignment horizontal="center"/>
    </xf>
    <xf numFmtId="3" fontId="19" fillId="0" borderId="5" xfId="0" applyNumberFormat="1" applyFont="1" applyBorder="1" applyAlignment="1">
      <alignment horizontal="right"/>
    </xf>
    <xf numFmtId="3" fontId="19" fillId="0" borderId="0" xfId="0" applyNumberFormat="1" applyFont="1" applyAlignment="1">
      <alignment horizontal="right"/>
    </xf>
    <xf numFmtId="0" fontId="25" fillId="6" borderId="5" xfId="0" quotePrefix="1" applyFont="1" applyFill="1" applyBorder="1" applyAlignment="1">
      <alignment wrapText="1"/>
    </xf>
    <xf numFmtId="168" fontId="22" fillId="7" borderId="5" xfId="0" quotePrefix="1" applyNumberFormat="1" applyFont="1" applyFill="1" applyBorder="1" applyAlignment="1">
      <alignment wrapText="1"/>
    </xf>
    <xf numFmtId="0" fontId="25" fillId="7" borderId="5" xfId="0" quotePrefix="1" applyFont="1" applyFill="1" applyBorder="1" applyAlignment="1">
      <alignment wrapText="1"/>
    </xf>
    <xf numFmtId="168" fontId="22" fillId="7" borderId="5" xfId="0" applyNumberFormat="1" applyFont="1" applyFill="1" applyBorder="1"/>
    <xf numFmtId="0" fontId="22" fillId="0" borderId="20" xfId="0" applyFont="1" applyBorder="1"/>
    <xf numFmtId="0" fontId="19" fillId="0" borderId="20" xfId="0" applyFont="1" applyBorder="1" applyAlignment="1">
      <alignment horizontal="left"/>
    </xf>
    <xf numFmtId="168" fontId="22" fillId="7" borderId="5" xfId="2" applyNumberFormat="1" applyFont="1" applyFill="1" applyBorder="1" applyProtection="1"/>
    <xf numFmtId="9" fontId="22" fillId="7" borderId="5" xfId="3" applyFont="1" applyFill="1" applyBorder="1" applyAlignment="1" applyProtection="1">
      <alignment horizontal="center"/>
    </xf>
    <xf numFmtId="168" fontId="34" fillId="6" borderId="5" xfId="0" applyNumberFormat="1" applyFont="1" applyFill="1" applyBorder="1" applyProtection="1">
      <protection locked="0"/>
    </xf>
    <xf numFmtId="168" fontId="34" fillId="6" borderId="5" xfId="2" applyNumberFormat="1" applyFont="1" applyFill="1" applyBorder="1" applyProtection="1">
      <protection locked="0"/>
    </xf>
    <xf numFmtId="168" fontId="34" fillId="6" borderId="5" xfId="2" applyNumberFormat="1" applyFont="1" applyFill="1" applyBorder="1" applyAlignment="1" applyProtection="1">
      <alignment vertical="center"/>
      <protection locked="0"/>
    </xf>
    <xf numFmtId="168" fontId="22" fillId="7" borderId="5" xfId="0" applyNumberFormat="1" applyFont="1" applyFill="1" applyBorder="1" applyAlignment="1">
      <alignment vertical="center"/>
    </xf>
    <xf numFmtId="9" fontId="22" fillId="7" borderId="5" xfId="3" applyFont="1" applyFill="1" applyBorder="1" applyAlignment="1" applyProtection="1">
      <alignment horizontal="center" vertical="center"/>
    </xf>
    <xf numFmtId="4" fontId="22" fillId="6" borderId="5" xfId="1" applyNumberFormat="1" applyFont="1" applyFill="1" applyBorder="1" applyAlignment="1" applyProtection="1">
      <alignment horizontal="center"/>
      <protection locked="0"/>
    </xf>
    <xf numFmtId="168" fontId="22" fillId="7" borderId="5" xfId="0" applyNumberFormat="1" applyFont="1" applyFill="1" applyBorder="1" applyAlignment="1">
      <alignment horizontal="center"/>
    </xf>
    <xf numFmtId="164" fontId="22" fillId="7" borderId="5" xfId="0" applyNumberFormat="1" applyFont="1" applyFill="1" applyBorder="1" applyAlignment="1">
      <alignment horizontal="center"/>
    </xf>
    <xf numFmtId="49" fontId="22" fillId="15" borderId="5" xfId="0" applyNumberFormat="1" applyFont="1" applyFill="1" applyBorder="1" applyAlignment="1" applyProtection="1">
      <alignment horizontal="center"/>
      <protection locked="0"/>
    </xf>
    <xf numFmtId="0" fontId="6" fillId="0" borderId="0" xfId="0" applyFont="1" applyProtection="1">
      <protection locked="0"/>
    </xf>
    <xf numFmtId="0" fontId="6" fillId="0" borderId="4" xfId="0" applyFont="1" applyBorder="1" applyProtection="1">
      <protection locked="0"/>
    </xf>
    <xf numFmtId="0" fontId="6" fillId="0" borderId="21" xfId="0" applyFont="1" applyBorder="1"/>
    <xf numFmtId="0" fontId="22" fillId="16" borderId="6" xfId="0" applyFont="1" applyFill="1" applyBorder="1" applyAlignment="1">
      <alignment horizontal="center"/>
    </xf>
    <xf numFmtId="0" fontId="9" fillId="0" borderId="23" xfId="0" applyFont="1" applyBorder="1"/>
    <xf numFmtId="0" fontId="22" fillId="0" borderId="5" xfId="0" applyFont="1" applyBorder="1"/>
    <xf numFmtId="0" fontId="22" fillId="17" borderId="5" xfId="0" applyFont="1" applyFill="1" applyBorder="1" applyAlignment="1">
      <alignment horizontal="center"/>
    </xf>
    <xf numFmtId="0" fontId="6" fillId="17" borderId="0" xfId="0" applyFont="1" applyFill="1"/>
    <xf numFmtId="0" fontId="22" fillId="17" borderId="0" xfId="0" applyFont="1" applyFill="1"/>
    <xf numFmtId="0" fontId="22" fillId="17" borderId="0" xfId="0" quotePrefix="1" applyFont="1" applyFill="1"/>
    <xf numFmtId="3" fontId="22" fillId="17" borderId="5" xfId="0" applyNumberFormat="1" applyFont="1" applyFill="1" applyBorder="1"/>
    <xf numFmtId="0" fontId="22" fillId="17" borderId="21" xfId="0" quotePrefix="1" applyFont="1" applyFill="1" applyBorder="1"/>
    <xf numFmtId="0" fontId="6" fillId="17" borderId="21" xfId="0" applyFont="1" applyFill="1" applyBorder="1"/>
    <xf numFmtId="0" fontId="22" fillId="17" borderId="21" xfId="0" applyFont="1" applyFill="1" applyBorder="1" applyAlignment="1">
      <alignment horizontal="center"/>
    </xf>
    <xf numFmtId="0" fontId="22" fillId="17" borderId="26" xfId="0" applyFont="1" applyFill="1" applyBorder="1" applyAlignment="1">
      <alignment horizontal="center"/>
    </xf>
    <xf numFmtId="0" fontId="9" fillId="17" borderId="23" xfId="0" applyFont="1" applyFill="1" applyBorder="1"/>
    <xf numFmtId="0" fontId="9" fillId="17" borderId="0" xfId="0" applyFont="1" applyFill="1"/>
    <xf numFmtId="0" fontId="22" fillId="17" borderId="0" xfId="0" applyFont="1" applyFill="1" applyAlignment="1">
      <alignment horizontal="center"/>
    </xf>
    <xf numFmtId="168" fontId="22" fillId="17" borderId="0" xfId="0" applyNumberFormat="1" applyFont="1" applyFill="1"/>
    <xf numFmtId="0" fontId="6" fillId="0" borderId="0" xfId="0" applyFont="1" applyAlignment="1">
      <alignment horizontal="left"/>
    </xf>
    <xf numFmtId="0" fontId="6" fillId="0" borderId="4" xfId="0" applyFont="1" applyBorder="1" applyAlignment="1">
      <alignment horizontal="left"/>
    </xf>
    <xf numFmtId="164" fontId="11" fillId="0" borderId="0" xfId="1" applyNumberFormat="1" applyFont="1" applyFill="1" applyBorder="1" applyAlignment="1"/>
    <xf numFmtId="165" fontId="25" fillId="0" borderId="11" xfId="0" applyNumberFormat="1" applyFont="1" applyBorder="1"/>
    <xf numFmtId="0" fontId="25" fillId="0" borderId="5" xfId="0" applyFont="1" applyBorder="1"/>
    <xf numFmtId="165" fontId="25" fillId="0" borderId="16" xfId="0" applyNumberFormat="1" applyFont="1" applyBorder="1"/>
    <xf numFmtId="0" fontId="25" fillId="0" borderId="12" xfId="0" applyFont="1" applyBorder="1"/>
    <xf numFmtId="165" fontId="25" fillId="0" borderId="13" xfId="0" applyNumberFormat="1" applyFont="1" applyBorder="1"/>
    <xf numFmtId="0" fontId="10" fillId="0" borderId="14" xfId="0" applyFont="1" applyBorder="1" applyAlignment="1">
      <alignment wrapText="1"/>
    </xf>
    <xf numFmtId="0" fontId="33" fillId="0" borderId="0" xfId="0" applyFont="1" applyProtection="1">
      <protection locked="0"/>
    </xf>
    <xf numFmtId="0" fontId="33" fillId="0" borderId="0" xfId="0" applyFont="1" applyAlignment="1" applyProtection="1">
      <alignment horizontal="center"/>
      <protection locked="0"/>
    </xf>
    <xf numFmtId="168" fontId="33" fillId="0" borderId="0" xfId="2" applyNumberFormat="1" applyFont="1" applyFill="1" applyBorder="1" applyAlignment="1" applyProtection="1">
      <alignment horizontal="center"/>
      <protection locked="0"/>
    </xf>
    <xf numFmtId="165" fontId="33" fillId="0" borderId="0" xfId="0" applyNumberFormat="1" applyFont="1" applyAlignment="1" applyProtection="1">
      <alignment horizontal="center" wrapText="1"/>
      <protection locked="0"/>
    </xf>
    <xf numFmtId="168" fontId="19" fillId="0" borderId="0" xfId="0" applyNumberFormat="1" applyFont="1" applyAlignment="1">
      <alignment horizontal="center"/>
    </xf>
    <xf numFmtId="1" fontId="33" fillId="0" borderId="0" xfId="2" applyNumberFormat="1" applyFont="1" applyFill="1" applyBorder="1" applyAlignment="1" applyProtection="1">
      <alignment horizontal="center"/>
      <protection locked="0"/>
    </xf>
    <xf numFmtId="44" fontId="33" fillId="0" borderId="0" xfId="2" applyFont="1" applyFill="1" applyBorder="1" applyAlignment="1" applyProtection="1">
      <alignment horizontal="center"/>
      <protection locked="0"/>
    </xf>
    <xf numFmtId="168" fontId="3" fillId="0" borderId="0" xfId="2" applyNumberFormat="1" applyFont="1" applyFill="1" applyBorder="1" applyAlignment="1" applyProtection="1">
      <alignment horizontal="center"/>
    </xf>
    <xf numFmtId="0" fontId="22" fillId="17" borderId="5" xfId="0" applyFont="1" applyFill="1" applyBorder="1"/>
    <xf numFmtId="0" fontId="6" fillId="17" borderId="5" xfId="0" quotePrefix="1" applyFont="1" applyFill="1" applyBorder="1"/>
    <xf numFmtId="3" fontId="22" fillId="17" borderId="5" xfId="0" quotePrefix="1" applyNumberFormat="1" applyFont="1" applyFill="1" applyBorder="1"/>
    <xf numFmtId="3" fontId="22" fillId="17" borderId="0" xfId="0" applyNumberFormat="1" applyFont="1" applyFill="1"/>
    <xf numFmtId="0" fontId="9" fillId="17" borderId="5" xfId="0" applyFont="1" applyFill="1" applyBorder="1"/>
    <xf numFmtId="168" fontId="19" fillId="17" borderId="5" xfId="2" applyNumberFormat="1" applyFont="1" applyFill="1" applyBorder="1" applyAlignment="1" applyProtection="1">
      <alignment horizontal="center"/>
    </xf>
    <xf numFmtId="168" fontId="22" fillId="17" borderId="5" xfId="0" applyNumberFormat="1" applyFont="1" applyFill="1" applyBorder="1"/>
    <xf numFmtId="168" fontId="22" fillId="17" borderId="5" xfId="2" applyNumberFormat="1" applyFont="1" applyFill="1" applyBorder="1" applyProtection="1"/>
    <xf numFmtId="168" fontId="22" fillId="16" borderId="5" xfId="0" applyNumberFormat="1" applyFont="1" applyFill="1" applyBorder="1"/>
    <xf numFmtId="0" fontId="22" fillId="17" borderId="5" xfId="0" applyFont="1" applyFill="1" applyBorder="1" applyAlignment="1">
      <alignment vertical="center"/>
    </xf>
    <xf numFmtId="0" fontId="19" fillId="17" borderId="5" xfId="0" applyFont="1" applyFill="1" applyBorder="1"/>
    <xf numFmtId="168" fontId="3" fillId="17" borderId="5" xfId="0" applyNumberFormat="1" applyFont="1" applyFill="1" applyBorder="1" applyAlignment="1">
      <alignment horizontal="center"/>
    </xf>
    <xf numFmtId="9" fontId="3" fillId="17" borderId="5" xfId="3" applyFont="1" applyFill="1" applyBorder="1" applyAlignment="1" applyProtection="1">
      <alignment horizontal="right"/>
    </xf>
    <xf numFmtId="44" fontId="3" fillId="17" borderId="5" xfId="2" applyFont="1" applyFill="1" applyBorder="1" applyAlignment="1" applyProtection="1">
      <alignment horizontal="center"/>
    </xf>
    <xf numFmtId="9" fontId="22" fillId="0" borderId="5" xfId="3" applyFont="1" applyFill="1" applyBorder="1" applyProtection="1"/>
    <xf numFmtId="44" fontId="3" fillId="0" borderId="5" xfId="2" applyFont="1" applyFill="1" applyBorder="1" applyAlignment="1" applyProtection="1">
      <alignment horizontal="center"/>
    </xf>
    <xf numFmtId="9" fontId="3" fillId="0" borderId="5" xfId="3" applyFont="1" applyFill="1" applyBorder="1" applyAlignment="1" applyProtection="1">
      <alignment horizontal="right"/>
    </xf>
    <xf numFmtId="0" fontId="22" fillId="16" borderId="5" xfId="0" applyFont="1" applyFill="1" applyBorder="1" applyAlignment="1">
      <alignment horizontal="center"/>
    </xf>
    <xf numFmtId="0" fontId="22" fillId="0" borderId="24" xfId="0" applyFont="1" applyBorder="1" applyAlignment="1">
      <alignment horizontal="center"/>
    </xf>
    <xf numFmtId="0" fontId="6" fillId="0" borderId="24" xfId="0" applyFont="1" applyBorder="1"/>
    <xf numFmtId="0" fontId="6" fillId="0" borderId="25" xfId="0" applyFont="1" applyBorder="1"/>
    <xf numFmtId="168" fontId="19" fillId="0" borderId="27" xfId="2" applyNumberFormat="1" applyFont="1" applyFill="1" applyBorder="1" applyAlignment="1" applyProtection="1">
      <alignment horizontal="center"/>
    </xf>
    <xf numFmtId="3" fontId="22" fillId="15" borderId="5" xfId="0" applyNumberFormat="1" applyFont="1" applyFill="1" applyBorder="1" applyProtection="1">
      <protection locked="0"/>
    </xf>
    <xf numFmtId="0" fontId="22" fillId="17" borderId="20" xfId="0" applyFont="1" applyFill="1" applyBorder="1" applyAlignment="1">
      <alignment horizontal="center"/>
    </xf>
    <xf numFmtId="3" fontId="22" fillId="17" borderId="20" xfId="0" applyNumberFormat="1" applyFont="1" applyFill="1" applyBorder="1"/>
    <xf numFmtId="0" fontId="22" fillId="17" borderId="5" xfId="0" quotePrefix="1" applyFont="1" applyFill="1" applyBorder="1"/>
    <xf numFmtId="0" fontId="27" fillId="15" borderId="5" xfId="0" applyFont="1" applyFill="1" applyBorder="1" applyAlignment="1" applyProtection="1">
      <alignment horizontal="center" vertical="center" wrapText="1"/>
      <protection locked="0"/>
    </xf>
    <xf numFmtId="0" fontId="10" fillId="0" borderId="5" xfId="0" applyFont="1" applyBorder="1"/>
    <xf numFmtId="0" fontId="11" fillId="0" borderId="5" xfId="0" applyFont="1" applyBorder="1" applyAlignment="1">
      <alignment wrapText="1"/>
    </xf>
    <xf numFmtId="0" fontId="11" fillId="0" borderId="5" xfId="0" applyFont="1" applyBorder="1" applyAlignment="1">
      <alignment horizontal="center" wrapText="1"/>
    </xf>
    <xf numFmtId="0" fontId="10" fillId="0" borderId="5" xfId="0" applyFont="1" applyBorder="1" applyAlignment="1">
      <alignment wrapText="1"/>
    </xf>
    <xf numFmtId="0" fontId="11" fillId="0" borderId="5" xfId="0" applyFont="1" applyBorder="1" applyAlignment="1">
      <alignment horizontal="center"/>
    </xf>
    <xf numFmtId="0" fontId="0" fillId="0" borderId="5" xfId="0" applyBorder="1" applyAlignment="1">
      <alignment horizontal="center"/>
    </xf>
    <xf numFmtId="164" fontId="0" fillId="0" borderId="5" xfId="1" applyNumberFormat="1" applyFont="1" applyBorder="1" applyAlignment="1"/>
    <xf numFmtId="0" fontId="0" fillId="17" borderId="5" xfId="0" applyFill="1" applyBorder="1"/>
    <xf numFmtId="165" fontId="22" fillId="17" borderId="5" xfId="0" applyNumberFormat="1" applyFont="1" applyFill="1" applyBorder="1" applyAlignment="1">
      <alignment horizontal="center"/>
    </xf>
    <xf numFmtId="165" fontId="22" fillId="0" borderId="5" xfId="0" applyNumberFormat="1" applyFont="1" applyBorder="1" applyAlignment="1">
      <alignment horizontal="center"/>
    </xf>
    <xf numFmtId="0" fontId="9" fillId="7" borderId="5" xfId="0" applyFont="1" applyFill="1" applyBorder="1" applyAlignment="1">
      <alignment horizontal="left"/>
    </xf>
    <xf numFmtId="0" fontId="9" fillId="7" borderId="5" xfId="0" applyFont="1" applyFill="1" applyBorder="1" applyAlignment="1">
      <alignment horizontal="right"/>
    </xf>
    <xf numFmtId="168" fontId="19" fillId="7" borderId="5" xfId="0" applyNumberFormat="1" applyFont="1" applyFill="1" applyBorder="1" applyAlignment="1">
      <alignment horizontal="center"/>
    </xf>
    <xf numFmtId="44" fontId="3" fillId="7" borderId="5" xfId="0" applyNumberFormat="1" applyFont="1" applyFill="1" applyBorder="1" applyAlignment="1">
      <alignment horizontal="center"/>
    </xf>
    <xf numFmtId="168" fontId="3" fillId="7" borderId="5" xfId="0" applyNumberFormat="1" applyFont="1" applyFill="1" applyBorder="1" applyAlignment="1">
      <alignment horizontal="center"/>
    </xf>
    <xf numFmtId="9" fontId="3" fillId="7" borderId="5" xfId="3" applyFont="1" applyFill="1" applyBorder="1" applyAlignment="1" applyProtection="1">
      <alignment horizontal="center"/>
    </xf>
    <xf numFmtId="0" fontId="5" fillId="7" borderId="5" xfId="0" applyFont="1" applyFill="1" applyBorder="1" applyAlignment="1">
      <alignment horizontal="center"/>
    </xf>
    <xf numFmtId="9" fontId="3" fillId="7" borderId="5" xfId="0" applyNumberFormat="1" applyFont="1" applyFill="1" applyBorder="1" applyAlignment="1">
      <alignment horizontal="center"/>
    </xf>
    <xf numFmtId="0" fontId="27" fillId="7" borderId="5" xfId="0" applyFont="1" applyFill="1" applyBorder="1" applyAlignment="1">
      <alignment vertical="center"/>
    </xf>
    <xf numFmtId="0" fontId="3" fillId="7" borderId="5" xfId="0" applyFont="1" applyFill="1" applyBorder="1" applyAlignment="1">
      <alignment horizontal="center" wrapText="1"/>
    </xf>
    <xf numFmtId="43" fontId="3" fillId="7" borderId="5" xfId="5" applyFont="1" applyFill="1" applyBorder="1" applyAlignment="1" applyProtection="1">
      <alignment horizontal="center" wrapText="1"/>
    </xf>
    <xf numFmtId="0" fontId="34" fillId="6" borderId="5" xfId="0" applyFont="1" applyFill="1" applyBorder="1" applyAlignment="1" applyProtection="1">
      <alignment vertical="center"/>
      <protection locked="0"/>
    </xf>
    <xf numFmtId="0" fontId="34" fillId="6" borderId="5" xfId="0" applyFont="1" applyFill="1" applyBorder="1" applyAlignment="1" applyProtection="1">
      <alignment horizontal="center" vertical="center" wrapText="1"/>
      <protection locked="0"/>
    </xf>
    <xf numFmtId="167" fontId="34" fillId="6" borderId="5" xfId="0" applyNumberFormat="1" applyFont="1" applyFill="1" applyBorder="1" applyAlignment="1" applyProtection="1">
      <alignment horizontal="center" vertical="center"/>
      <protection locked="0"/>
    </xf>
    <xf numFmtId="9" fontId="19" fillId="7" borderId="5" xfId="3" applyFont="1" applyFill="1" applyBorder="1" applyAlignment="1" applyProtection="1">
      <alignment horizontal="center"/>
    </xf>
    <xf numFmtId="0" fontId="33" fillId="6" borderId="5" xfId="0" applyFont="1" applyFill="1" applyBorder="1" applyAlignment="1" applyProtection="1">
      <alignment horizontal="center" wrapText="1"/>
      <protection locked="0"/>
    </xf>
    <xf numFmtId="168" fontId="3" fillId="7" borderId="5" xfId="2" applyNumberFormat="1" applyFont="1" applyFill="1" applyBorder="1" applyAlignment="1" applyProtection="1">
      <alignment horizontal="center"/>
    </xf>
    <xf numFmtId="9" fontId="9" fillId="7" borderId="5" xfId="0" applyNumberFormat="1" applyFont="1" applyFill="1" applyBorder="1" applyAlignment="1">
      <alignment horizontal="center"/>
    </xf>
    <xf numFmtId="0" fontId="42" fillId="6" borderId="5" xfId="0" applyFont="1" applyFill="1" applyBorder="1" applyAlignment="1" applyProtection="1">
      <alignment vertical="center"/>
      <protection locked="0"/>
    </xf>
    <xf numFmtId="165" fontId="33" fillId="6" borderId="5" xfId="0" applyNumberFormat="1" applyFont="1" applyFill="1" applyBorder="1" applyAlignment="1" applyProtection="1">
      <alignment horizontal="center" wrapText="1"/>
      <protection locked="0"/>
    </xf>
    <xf numFmtId="1" fontId="33" fillId="6" borderId="5" xfId="2" applyNumberFormat="1" applyFont="1" applyFill="1" applyBorder="1" applyAlignment="1" applyProtection="1">
      <alignment horizontal="center"/>
      <protection locked="0"/>
    </xf>
    <xf numFmtId="44" fontId="33" fillId="6" borderId="5" xfId="2" applyFont="1" applyFill="1" applyBorder="1" applyAlignment="1" applyProtection="1">
      <alignment horizontal="center"/>
      <protection locked="0"/>
    </xf>
    <xf numFmtId="0" fontId="42" fillId="6" borderId="5" xfId="0" applyFont="1" applyFill="1" applyBorder="1" applyAlignment="1" applyProtection="1">
      <alignment vertical="center" wrapText="1"/>
      <protection locked="0"/>
    </xf>
    <xf numFmtId="0" fontId="42" fillId="6" borderId="5" xfId="0" quotePrefix="1" applyFont="1" applyFill="1" applyBorder="1" applyAlignment="1" applyProtection="1">
      <alignment vertical="center"/>
      <protection locked="0"/>
    </xf>
    <xf numFmtId="0" fontId="33" fillId="6" borderId="5" xfId="0" applyFont="1" applyFill="1" applyBorder="1" applyProtection="1">
      <protection locked="0"/>
    </xf>
    <xf numFmtId="0" fontId="33" fillId="6" borderId="5" xfId="0" applyFont="1" applyFill="1" applyBorder="1" applyAlignment="1" applyProtection="1">
      <alignment horizontal="center"/>
      <protection locked="0"/>
    </xf>
    <xf numFmtId="168" fontId="33" fillId="6" borderId="5" xfId="2" applyNumberFormat="1" applyFont="1" applyFill="1" applyBorder="1" applyAlignment="1" applyProtection="1">
      <alignment horizontal="center"/>
      <protection locked="0"/>
    </xf>
    <xf numFmtId="0" fontId="19" fillId="7" borderId="5" xfId="0" quotePrefix="1" applyFont="1" applyFill="1" applyBorder="1" applyProtection="1">
      <protection locked="0"/>
    </xf>
    <xf numFmtId="0" fontId="33" fillId="7" borderId="5" xfId="0" applyFont="1" applyFill="1" applyBorder="1" applyAlignment="1" applyProtection="1">
      <alignment horizontal="center"/>
      <protection locked="0"/>
    </xf>
    <xf numFmtId="168" fontId="19" fillId="7" borderId="5" xfId="2" applyNumberFormat="1" applyFont="1" applyFill="1" applyBorder="1" applyAlignment="1" applyProtection="1">
      <alignment horizontal="center"/>
      <protection locked="0"/>
    </xf>
    <xf numFmtId="165" fontId="33" fillId="7" borderId="5" xfId="0" applyNumberFormat="1" applyFont="1" applyFill="1" applyBorder="1" applyAlignment="1" applyProtection="1">
      <alignment horizontal="center" wrapText="1"/>
      <protection locked="0"/>
    </xf>
    <xf numFmtId="1" fontId="33" fillId="7" borderId="5" xfId="2" applyNumberFormat="1" applyFont="1" applyFill="1" applyBorder="1" applyAlignment="1" applyProtection="1">
      <alignment horizontal="center"/>
      <protection locked="0"/>
    </xf>
    <xf numFmtId="44" fontId="33" fillId="7" borderId="5" xfId="2" applyFont="1" applyFill="1" applyBorder="1" applyAlignment="1" applyProtection="1">
      <alignment horizontal="center"/>
      <protection locked="0"/>
    </xf>
    <xf numFmtId="0" fontId="2" fillId="7" borderId="5" xfId="0" applyFont="1" applyFill="1" applyBorder="1" applyAlignment="1">
      <alignment horizontal="left" wrapText="1"/>
    </xf>
    <xf numFmtId="0" fontId="33" fillId="6" borderId="5" xfId="0" applyFont="1" applyFill="1" applyBorder="1" applyAlignment="1">
      <alignment horizontal="left" vertical="center" wrapText="1"/>
    </xf>
    <xf numFmtId="0" fontId="33" fillId="6" borderId="5" xfId="0" applyFont="1" applyFill="1" applyBorder="1" applyAlignment="1">
      <alignment horizontal="center" vertical="center" wrapText="1"/>
    </xf>
    <xf numFmtId="44" fontId="33" fillId="6" borderId="5" xfId="0" applyNumberFormat="1" applyFont="1" applyFill="1" applyBorder="1" applyAlignment="1">
      <alignment horizontal="center" vertical="center" wrapText="1"/>
    </xf>
    <xf numFmtId="0" fontId="33" fillId="6" borderId="5" xfId="5" applyNumberFormat="1" applyFont="1" applyFill="1" applyBorder="1" applyAlignment="1" applyProtection="1">
      <alignment horizontal="center" vertical="center" wrapText="1"/>
    </xf>
    <xf numFmtId="168" fontId="19" fillId="7" borderId="5" xfId="0" applyNumberFormat="1" applyFont="1" applyFill="1" applyBorder="1" applyAlignment="1">
      <alignment horizontal="center" vertical="center"/>
    </xf>
    <xf numFmtId="9" fontId="19" fillId="7" borderId="5" xfId="3" applyFont="1" applyFill="1" applyBorder="1" applyAlignment="1" applyProtection="1">
      <alignment horizontal="center" vertical="center"/>
    </xf>
    <xf numFmtId="1" fontId="33" fillId="7" borderId="5" xfId="2" applyNumberFormat="1" applyFont="1" applyFill="1" applyBorder="1" applyAlignment="1" applyProtection="1">
      <alignment horizontal="center" vertical="center"/>
      <protection locked="0"/>
    </xf>
    <xf numFmtId="44" fontId="33" fillId="7" borderId="5" xfId="2" applyFont="1" applyFill="1" applyBorder="1" applyAlignment="1" applyProtection="1">
      <alignment horizontal="center" vertical="center"/>
      <protection locked="0"/>
    </xf>
    <xf numFmtId="168" fontId="3" fillId="7" borderId="5" xfId="2" applyNumberFormat="1" applyFont="1" applyFill="1" applyBorder="1" applyAlignment="1" applyProtection="1">
      <alignment horizontal="center" vertical="center"/>
    </xf>
    <xf numFmtId="9" fontId="9" fillId="7" borderId="5" xfId="0" applyNumberFormat="1" applyFont="1" applyFill="1" applyBorder="1" applyAlignment="1">
      <alignment horizontal="center" vertical="center"/>
    </xf>
    <xf numFmtId="0" fontId="33" fillId="6" borderId="5" xfId="0" applyFont="1" applyFill="1" applyBorder="1" applyAlignment="1" applyProtection="1">
      <alignment horizontal="left" wrapText="1"/>
      <protection locked="0"/>
    </xf>
    <xf numFmtId="168" fontId="33" fillId="6" borderId="5" xfId="2" applyNumberFormat="1" applyFont="1" applyFill="1" applyBorder="1" applyAlignment="1" applyProtection="1">
      <alignment horizontal="center" wrapText="1"/>
      <protection locked="0"/>
    </xf>
    <xf numFmtId="4" fontId="33" fillId="6" borderId="5" xfId="0" applyNumberFormat="1" applyFont="1" applyFill="1" applyBorder="1" applyAlignment="1" applyProtection="1">
      <alignment horizontal="center" wrapText="1"/>
      <protection locked="0"/>
    </xf>
    <xf numFmtId="0" fontId="34" fillId="6" borderId="5" xfId="0" applyFont="1" applyFill="1" applyBorder="1" applyAlignment="1" applyProtection="1">
      <alignment vertical="center" wrapText="1"/>
      <protection locked="0"/>
    </xf>
    <xf numFmtId="1" fontId="33" fillId="7" borderId="5" xfId="2" applyNumberFormat="1" applyFont="1" applyFill="1" applyBorder="1" applyAlignment="1" applyProtection="1">
      <alignment horizontal="center"/>
    </xf>
    <xf numFmtId="44" fontId="33" fillId="7" borderId="5" xfId="2" applyFont="1" applyFill="1" applyBorder="1" applyAlignment="1" applyProtection="1">
      <alignment horizontal="center"/>
    </xf>
    <xf numFmtId="0" fontId="22" fillId="7" borderId="5" xfId="0" quotePrefix="1" applyFont="1" applyFill="1" applyBorder="1" applyAlignment="1">
      <alignment vertical="center" wrapText="1"/>
    </xf>
    <xf numFmtId="0" fontId="33" fillId="7" borderId="5" xfId="0" applyFont="1" applyFill="1" applyBorder="1" applyAlignment="1" applyProtection="1">
      <alignment horizontal="center" wrapText="1"/>
      <protection locked="0"/>
    </xf>
    <xf numFmtId="0" fontId="3" fillId="7" borderId="5" xfId="0" applyFont="1" applyFill="1" applyBorder="1" applyAlignment="1">
      <alignment horizontal="left"/>
    </xf>
    <xf numFmtId="0" fontId="3" fillId="7" borderId="5" xfId="0" applyFont="1" applyFill="1" applyBorder="1" applyAlignment="1">
      <alignment horizontal="center"/>
    </xf>
    <xf numFmtId="0" fontId="0" fillId="7" borderId="5" xfId="0" applyFill="1" applyBorder="1"/>
    <xf numFmtId="0" fontId="30" fillId="7" borderId="5" xfId="0" applyFont="1" applyFill="1" applyBorder="1" applyAlignment="1">
      <alignment wrapText="1"/>
    </xf>
    <xf numFmtId="167" fontId="33" fillId="6" borderId="5" xfId="1" applyNumberFormat="1" applyFont="1" applyFill="1" applyBorder="1" applyAlignment="1" applyProtection="1">
      <protection locked="0"/>
    </xf>
    <xf numFmtId="3" fontId="19" fillId="7" borderId="5" xfId="1" applyNumberFormat="1" applyFont="1" applyFill="1" applyBorder="1" applyAlignment="1" applyProtection="1"/>
    <xf numFmtId="167" fontId="19" fillId="7" borderId="5" xfId="1" applyNumberFormat="1" applyFont="1" applyFill="1" applyBorder="1" applyAlignment="1" applyProtection="1"/>
    <xf numFmtId="0" fontId="21" fillId="7" borderId="5" xfId="0" applyFont="1" applyFill="1" applyBorder="1" applyAlignment="1">
      <alignment horizontal="left"/>
    </xf>
    <xf numFmtId="4" fontId="22" fillId="7" borderId="5" xfId="0" applyNumberFormat="1" applyFont="1" applyFill="1" applyBorder="1"/>
    <xf numFmtId="4" fontId="34" fillId="6" borderId="5" xfId="0" applyNumberFormat="1" applyFont="1" applyFill="1" applyBorder="1" applyProtection="1">
      <protection locked="0"/>
    </xf>
    <xf numFmtId="0" fontId="18" fillId="7" borderId="5" xfId="0" applyFont="1" applyFill="1" applyBorder="1" applyAlignment="1">
      <alignment wrapText="1"/>
    </xf>
    <xf numFmtId="0" fontId="19" fillId="7" borderId="5" xfId="0" applyFont="1" applyFill="1" applyBorder="1" applyAlignment="1">
      <alignment horizontal="left"/>
    </xf>
    <xf numFmtId="4" fontId="19" fillId="7" borderId="5" xfId="0" applyNumberFormat="1" applyFont="1" applyFill="1" applyBorder="1" applyAlignment="1">
      <alignment horizontal="right"/>
    </xf>
    <xf numFmtId="0" fontId="24" fillId="7" borderId="5" xfId="0" applyFont="1" applyFill="1" applyBorder="1" applyAlignment="1">
      <alignment horizontal="left"/>
    </xf>
    <xf numFmtId="0" fontId="6" fillId="7" borderId="5" xfId="0" applyFont="1" applyFill="1" applyBorder="1" applyAlignment="1">
      <alignment horizontal="left" wrapText="1"/>
    </xf>
    <xf numFmtId="0" fontId="27" fillId="7" borderId="5" xfId="0" applyFont="1" applyFill="1" applyBorder="1"/>
    <xf numFmtId="0" fontId="22" fillId="7" borderId="5" xfId="0" applyFont="1" applyFill="1" applyBorder="1" applyAlignment="1">
      <alignment horizontal="center"/>
    </xf>
    <xf numFmtId="0" fontId="6" fillId="7" borderId="5" xfId="0" applyFont="1" applyFill="1" applyBorder="1"/>
    <xf numFmtId="0" fontId="34" fillId="6" borderId="5" xfId="0" applyFont="1" applyFill="1" applyBorder="1" applyAlignment="1" applyProtection="1">
      <alignment horizontal="center"/>
      <protection locked="0"/>
    </xf>
    <xf numFmtId="0" fontId="25" fillId="7" borderId="5" xfId="0" applyFont="1" applyFill="1" applyBorder="1"/>
    <xf numFmtId="0" fontId="34" fillId="6" borderId="5" xfId="0" applyFont="1" applyFill="1" applyBorder="1" applyProtection="1">
      <protection locked="0"/>
    </xf>
    <xf numFmtId="0" fontId="25" fillId="7" borderId="5" xfId="0" quotePrefix="1" applyFont="1" applyFill="1" applyBorder="1"/>
    <xf numFmtId="3" fontId="22" fillId="7" borderId="5" xfId="0" applyNumberFormat="1" applyFont="1" applyFill="1" applyBorder="1"/>
    <xf numFmtId="3" fontId="25" fillId="7" borderId="5" xfId="0" applyNumberFormat="1" applyFont="1" applyFill="1" applyBorder="1"/>
    <xf numFmtId="169" fontId="34" fillId="6" borderId="5" xfId="0" applyNumberFormat="1" applyFont="1" applyFill="1" applyBorder="1" applyProtection="1">
      <protection locked="0"/>
    </xf>
    <xf numFmtId="1" fontId="34" fillId="6" borderId="5" xfId="0" applyNumberFormat="1" applyFont="1" applyFill="1" applyBorder="1" applyProtection="1">
      <protection locked="0"/>
    </xf>
    <xf numFmtId="164" fontId="22" fillId="7" borderId="5" xfId="1" applyNumberFormat="1" applyFont="1" applyFill="1" applyBorder="1" applyProtection="1"/>
    <xf numFmtId="169" fontId="22" fillId="7" borderId="5" xfId="0" applyNumberFormat="1" applyFont="1" applyFill="1" applyBorder="1"/>
    <xf numFmtId="164" fontId="34" fillId="6" borderId="5" xfId="1" applyNumberFormat="1" applyFont="1" applyFill="1" applyBorder="1" applyProtection="1">
      <protection locked="0"/>
    </xf>
    <xf numFmtId="165" fontId="22" fillId="7" borderId="5" xfId="0" applyNumberFormat="1" applyFont="1" applyFill="1" applyBorder="1"/>
    <xf numFmtId="2" fontId="34" fillId="6" borderId="5" xfId="0" applyNumberFormat="1" applyFont="1" applyFill="1" applyBorder="1" applyProtection="1">
      <protection locked="0"/>
    </xf>
    <xf numFmtId="9" fontId="22" fillId="6" borderId="5" xfId="3" applyFont="1" applyFill="1" applyBorder="1" applyProtection="1">
      <protection locked="0"/>
    </xf>
    <xf numFmtId="164" fontId="22" fillId="7" borderId="5" xfId="0" applyNumberFormat="1" applyFont="1" applyFill="1" applyBorder="1"/>
    <xf numFmtId="0" fontId="22" fillId="7" borderId="5" xfId="0" applyFont="1" applyFill="1" applyBorder="1"/>
    <xf numFmtId="0" fontId="7" fillId="7" borderId="5" xfId="0" applyFont="1" applyFill="1" applyBorder="1"/>
    <xf numFmtId="170" fontId="33" fillId="6" borderId="5" xfId="2" applyNumberFormat="1" applyFont="1" applyFill="1" applyBorder="1" applyAlignment="1" applyProtection="1">
      <alignment horizontal="center"/>
      <protection locked="0"/>
    </xf>
    <xf numFmtId="44" fontId="34" fillId="6" borderId="5" xfId="2" applyFont="1" applyFill="1" applyBorder="1" applyProtection="1">
      <protection locked="0"/>
    </xf>
    <xf numFmtId="0" fontId="9" fillId="7" borderId="5" xfId="0" applyFont="1" applyFill="1" applyBorder="1"/>
    <xf numFmtId="0" fontId="7" fillId="7" borderId="5" xfId="0" applyFont="1" applyFill="1" applyBorder="1" applyAlignment="1">
      <alignment horizontal="left" vertical="center"/>
    </xf>
    <xf numFmtId="0" fontId="43" fillId="6" borderId="5" xfId="0" applyFont="1" applyFill="1" applyBorder="1" applyProtection="1">
      <protection locked="0"/>
    </xf>
    <xf numFmtId="168" fontId="19" fillId="7" borderId="5" xfId="2" applyNumberFormat="1" applyFont="1" applyFill="1" applyBorder="1" applyAlignment="1" applyProtection="1">
      <alignment horizontal="center"/>
    </xf>
    <xf numFmtId="0" fontId="38" fillId="13" borderId="0" xfId="0" applyFont="1" applyFill="1" applyAlignment="1">
      <alignment horizontal="left"/>
    </xf>
    <xf numFmtId="0" fontId="27" fillId="14" borderId="0" xfId="0" applyFont="1" applyFill="1" applyAlignment="1">
      <alignment horizontal="left" vertical="center" wrapText="1"/>
    </xf>
    <xf numFmtId="0" fontId="37" fillId="14" borderId="0" xfId="0" applyFont="1" applyFill="1" applyAlignment="1">
      <alignment horizontal="left" vertical="center"/>
    </xf>
    <xf numFmtId="0" fontId="2" fillId="13" borderId="0" xfId="0" applyFont="1" applyFill="1" applyAlignment="1">
      <alignment horizontal="left" vertical="center" wrapText="1"/>
    </xf>
    <xf numFmtId="0" fontId="29" fillId="6" borderId="0" xfId="0" applyFont="1" applyFill="1" applyAlignment="1">
      <alignment horizontal="left"/>
    </xf>
    <xf numFmtId="0" fontId="20" fillId="7" borderId="0" xfId="0" applyFont="1" applyFill="1" applyAlignment="1">
      <alignment horizontal="left"/>
    </xf>
    <xf numFmtId="0" fontId="2" fillId="13" borderId="0" xfId="0" applyFont="1" applyFill="1" applyAlignment="1">
      <alignment horizontal="left"/>
    </xf>
    <xf numFmtId="0" fontId="6" fillId="15" borderId="0" xfId="0" applyFont="1" applyFill="1" applyAlignment="1">
      <alignment horizontal="left"/>
    </xf>
    <xf numFmtId="0" fontId="6" fillId="15" borderId="4" xfId="0" applyFont="1" applyFill="1" applyBorder="1" applyAlignment="1">
      <alignment horizontal="left"/>
    </xf>
    <xf numFmtId="0" fontId="22" fillId="15" borderId="0" xfId="0" applyFont="1" applyFill="1" applyAlignment="1">
      <alignment horizontal="left"/>
    </xf>
    <xf numFmtId="0" fontId="10" fillId="3" borderId="5" xfId="0" applyFont="1" applyFill="1" applyBorder="1" applyAlignment="1">
      <alignment horizontal="center"/>
    </xf>
    <xf numFmtId="0" fontId="10" fillId="3" borderId="10" xfId="0" applyFont="1" applyFill="1" applyBorder="1" applyAlignment="1">
      <alignment wrapText="1"/>
    </xf>
    <xf numFmtId="0" fontId="11" fillId="3" borderId="0" xfId="0" applyFont="1" applyFill="1" applyProtection="1">
      <protection locked="0"/>
    </xf>
    <xf numFmtId="0" fontId="44" fillId="3" borderId="0" xfId="0" applyFont="1" applyFill="1" applyProtection="1">
      <protection locked="0"/>
    </xf>
    <xf numFmtId="0" fontId="11" fillId="0" borderId="15" xfId="0" applyFont="1" applyBorder="1" applyProtection="1">
      <protection locked="0"/>
    </xf>
    <xf numFmtId="0" fontId="44" fillId="0" borderId="15" xfId="0" applyFont="1" applyBorder="1" applyProtection="1">
      <protection locked="0"/>
    </xf>
    <xf numFmtId="0" fontId="11" fillId="0" borderId="13" xfId="0" applyFont="1" applyBorder="1"/>
    <xf numFmtId="0" fontId="11" fillId="3" borderId="5" xfId="0" applyFont="1" applyFill="1" applyBorder="1" applyProtection="1">
      <protection locked="0"/>
    </xf>
    <xf numFmtId="0" fontId="10" fillId="3" borderId="5" xfId="0" applyFont="1" applyFill="1" applyBorder="1" applyProtection="1">
      <protection locked="0"/>
    </xf>
    <xf numFmtId="167" fontId="11" fillId="3" borderId="5" xfId="0" applyNumberFormat="1" applyFont="1" applyFill="1" applyBorder="1" applyProtection="1">
      <protection locked="0"/>
    </xf>
    <xf numFmtId="3" fontId="11" fillId="3" borderId="5" xfId="0" applyNumberFormat="1" applyFont="1" applyFill="1" applyBorder="1" applyProtection="1">
      <protection locked="0"/>
    </xf>
    <xf numFmtId="165" fontId="11" fillId="3" borderId="0" xfId="0" applyNumberFormat="1" applyFont="1" applyFill="1" applyProtection="1">
      <protection locked="0"/>
    </xf>
    <xf numFmtId="0" fontId="41" fillId="14" borderId="0" xfId="0" applyFont="1" applyFill="1" applyAlignment="1">
      <alignment horizontal="left" vertical="center" wrapText="1"/>
    </xf>
    <xf numFmtId="0" fontId="38" fillId="13" borderId="0" xfId="0" applyFont="1" applyFill="1" applyAlignment="1">
      <alignment horizontal="left"/>
    </xf>
    <xf numFmtId="0" fontId="27" fillId="14" borderId="0" xfId="0" applyFont="1" applyFill="1" applyAlignment="1">
      <alignment horizontal="left" vertical="center" wrapText="1"/>
    </xf>
    <xf numFmtId="0" fontId="37" fillId="14" borderId="0" xfId="0" applyFont="1" applyFill="1" applyAlignment="1">
      <alignment horizontal="left" vertical="center"/>
    </xf>
    <xf numFmtId="0" fontId="2" fillId="13" borderId="10" xfId="0" applyFont="1" applyFill="1" applyBorder="1" applyAlignment="1">
      <alignment horizontal="left" vertical="center" wrapText="1"/>
    </xf>
    <xf numFmtId="0" fontId="2" fillId="13" borderId="0" xfId="0" applyFont="1" applyFill="1" applyAlignment="1">
      <alignment horizontal="left" vertical="center" wrapText="1"/>
    </xf>
    <xf numFmtId="0" fontId="41" fillId="0" borderId="0" xfId="0" applyFont="1" applyAlignment="1">
      <alignment horizontal="left" vertical="center" wrapText="1"/>
    </xf>
    <xf numFmtId="0" fontId="29" fillId="6" borderId="0" xfId="0" applyFont="1" applyFill="1" applyAlignment="1">
      <alignment horizontal="left"/>
    </xf>
    <xf numFmtId="0" fontId="20" fillId="7" borderId="0" xfId="0" applyFont="1" applyFill="1" applyAlignment="1">
      <alignment horizontal="left"/>
    </xf>
    <xf numFmtId="0" fontId="2" fillId="13" borderId="0" xfId="0" applyFont="1" applyFill="1" applyAlignment="1">
      <alignment horizontal="left"/>
    </xf>
    <xf numFmtId="0" fontId="38" fillId="14" borderId="0" xfId="0" applyFont="1" applyFill="1" applyAlignment="1">
      <alignment horizontal="left" vertical="center"/>
    </xf>
    <xf numFmtId="0" fontId="27" fillId="13" borderId="21" xfId="0" applyFont="1" applyFill="1" applyBorder="1" applyAlignment="1">
      <alignment horizontal="left" wrapText="1"/>
    </xf>
    <xf numFmtId="0" fontId="27" fillId="17" borderId="0" xfId="0" applyFont="1" applyFill="1" applyAlignment="1">
      <alignment horizontal="left" vertical="center" wrapText="1"/>
    </xf>
    <xf numFmtId="0" fontId="22" fillId="0" borderId="0" xfId="0" applyFont="1" applyAlignment="1" applyProtection="1">
      <alignment horizontal="center"/>
      <protection locked="0"/>
    </xf>
    <xf numFmtId="0" fontId="22" fillId="0" borderId="4" xfId="0" applyFont="1" applyBorder="1" applyAlignment="1" applyProtection="1">
      <alignment horizontal="center"/>
      <protection locked="0"/>
    </xf>
    <xf numFmtId="49" fontId="27" fillId="15" borderId="17" xfId="0" applyNumberFormat="1" applyFont="1" applyFill="1" applyBorder="1" applyAlignment="1" applyProtection="1">
      <alignment horizontal="left" vertical="center" wrapText="1"/>
      <protection locked="0"/>
    </xf>
    <xf numFmtId="49" fontId="27" fillId="15" borderId="19" xfId="0" applyNumberFormat="1" applyFont="1" applyFill="1" applyBorder="1" applyAlignment="1" applyProtection="1">
      <alignment horizontal="left" vertical="center" wrapText="1"/>
      <protection locked="0"/>
    </xf>
    <xf numFmtId="49" fontId="27" fillId="15" borderId="20" xfId="0" applyNumberFormat="1" applyFont="1" applyFill="1" applyBorder="1" applyAlignment="1" applyProtection="1">
      <alignment horizontal="left" vertical="center" wrapText="1"/>
      <protection locked="0"/>
    </xf>
    <xf numFmtId="0" fontId="6" fillId="15" borderId="18" xfId="0" applyFont="1" applyFill="1" applyBorder="1" applyAlignment="1">
      <alignment horizontal="left"/>
    </xf>
    <xf numFmtId="0" fontId="6" fillId="15" borderId="0" xfId="0" applyFont="1" applyFill="1" applyAlignment="1">
      <alignment horizontal="left"/>
    </xf>
    <xf numFmtId="0" fontId="6" fillId="15" borderId="4" xfId="0" applyFont="1" applyFill="1" applyBorder="1" applyAlignment="1">
      <alignment horizontal="left"/>
    </xf>
    <xf numFmtId="0" fontId="22" fillId="15" borderId="18" xfId="0" applyFont="1" applyFill="1" applyBorder="1" applyAlignment="1">
      <alignment horizontal="left"/>
    </xf>
    <xf numFmtId="0" fontId="22" fillId="15" borderId="0" xfId="0" applyFont="1" applyFill="1" applyAlignment="1">
      <alignment horizontal="left"/>
    </xf>
    <xf numFmtId="0" fontId="22" fillId="15" borderId="4" xfId="0" applyFont="1" applyFill="1" applyBorder="1" applyAlignment="1">
      <alignment horizontal="left"/>
    </xf>
    <xf numFmtId="0" fontId="22" fillId="15" borderId="17" xfId="0" quotePrefix="1" applyFont="1" applyFill="1" applyBorder="1" applyAlignment="1">
      <alignment horizontal="left"/>
    </xf>
    <xf numFmtId="0" fontId="22" fillId="15" borderId="19" xfId="0" quotePrefix="1" applyFont="1" applyFill="1" applyBorder="1" applyAlignment="1">
      <alignment horizontal="left"/>
    </xf>
    <xf numFmtId="0" fontId="22" fillId="15" borderId="20" xfId="0" quotePrefix="1" applyFont="1" applyFill="1" applyBorder="1" applyAlignment="1">
      <alignment horizontal="left"/>
    </xf>
    <xf numFmtId="0" fontId="22" fillId="15" borderId="18" xfId="0" quotePrefix="1" applyFont="1" applyFill="1" applyBorder="1" applyAlignment="1">
      <alignment horizontal="left"/>
    </xf>
    <xf numFmtId="0" fontId="22" fillId="15" borderId="0" xfId="0" quotePrefix="1" applyFont="1" applyFill="1" applyAlignment="1">
      <alignment horizontal="left"/>
    </xf>
    <xf numFmtId="0" fontId="22" fillId="15" borderId="4" xfId="0" quotePrefix="1" applyFont="1" applyFill="1" applyBorder="1" applyAlignment="1">
      <alignment horizontal="left"/>
    </xf>
    <xf numFmtId="0" fontId="22" fillId="15" borderId="22" xfId="0" quotePrefix="1" applyFont="1" applyFill="1" applyBorder="1" applyAlignment="1">
      <alignment horizontal="left"/>
    </xf>
    <xf numFmtId="0" fontId="22" fillId="15" borderId="21" xfId="0" quotePrefix="1" applyFont="1" applyFill="1" applyBorder="1" applyAlignment="1">
      <alignment horizontal="left"/>
    </xf>
    <xf numFmtId="0" fontId="22" fillId="15" borderId="26" xfId="0" quotePrefix="1" applyFont="1" applyFill="1" applyBorder="1" applyAlignment="1">
      <alignment horizontal="left"/>
    </xf>
    <xf numFmtId="0" fontId="10" fillId="5" borderId="9" xfId="0" applyFont="1" applyFill="1" applyBorder="1" applyAlignment="1">
      <alignment horizontal="left"/>
    </xf>
    <xf numFmtId="0" fontId="10" fillId="5" borderId="7" xfId="0" applyFont="1" applyFill="1" applyBorder="1" applyAlignment="1">
      <alignment horizontal="left"/>
    </xf>
    <xf numFmtId="0" fontId="10" fillId="5" borderId="8" xfId="0" applyFont="1" applyFill="1" applyBorder="1" applyAlignment="1">
      <alignment horizontal="left"/>
    </xf>
    <xf numFmtId="0" fontId="40" fillId="2" borderId="1" xfId="0" applyFont="1" applyFill="1" applyBorder="1" applyAlignment="1">
      <alignment horizontal="center"/>
    </xf>
    <xf numFmtId="0" fontId="40" fillId="2" borderId="2" xfId="0" applyFont="1" applyFill="1" applyBorder="1" applyAlignment="1">
      <alignment horizontal="center"/>
    </xf>
    <xf numFmtId="0" fontId="40" fillId="2" borderId="3" xfId="0" applyFont="1" applyFill="1" applyBorder="1" applyAlignment="1">
      <alignment horizontal="center"/>
    </xf>
    <xf numFmtId="0" fontId="10" fillId="4" borderId="5" xfId="0" applyFont="1" applyFill="1" applyBorder="1" applyAlignment="1">
      <alignment horizontal="center"/>
    </xf>
    <xf numFmtId="0" fontId="40" fillId="2" borderId="10" xfId="0" applyFont="1" applyFill="1" applyBorder="1" applyAlignment="1">
      <alignment horizontal="center"/>
    </xf>
    <xf numFmtId="0" fontId="40" fillId="2" borderId="0" xfId="0" applyFont="1" applyFill="1" applyAlignment="1">
      <alignment horizontal="center"/>
    </xf>
    <xf numFmtId="0" fontId="10" fillId="3" borderId="5" xfId="0" applyFont="1" applyFill="1" applyBorder="1" applyAlignment="1">
      <alignment horizontal="center"/>
    </xf>
    <xf numFmtId="0" fontId="10" fillId="4" borderId="18" xfId="0" applyFont="1" applyFill="1" applyBorder="1" applyAlignment="1">
      <alignment horizontal="center"/>
    </xf>
    <xf numFmtId="0" fontId="10" fillId="4" borderId="0" xfId="0" applyFont="1" applyFill="1" applyAlignment="1">
      <alignment horizontal="center"/>
    </xf>
    <xf numFmtId="0" fontId="10" fillId="8" borderId="0" xfId="0" applyFont="1" applyFill="1" applyAlignment="1">
      <alignment horizontal="center"/>
    </xf>
    <xf numFmtId="0" fontId="40" fillId="8" borderId="10" xfId="0" applyFont="1" applyFill="1" applyBorder="1" applyAlignment="1">
      <alignment horizontal="center"/>
    </xf>
    <xf numFmtId="0" fontId="40" fillId="8" borderId="0" xfId="0" applyFont="1" applyFill="1" applyAlignment="1">
      <alignment horizontal="center"/>
    </xf>
    <xf numFmtId="0" fontId="12" fillId="9" borderId="21" xfId="0" applyFont="1" applyFill="1" applyBorder="1" applyAlignment="1">
      <alignment horizontal="center"/>
    </xf>
    <xf numFmtId="0" fontId="12" fillId="0" borderId="17" xfId="0" applyFont="1" applyBorder="1" applyAlignment="1">
      <alignment horizontal="center"/>
    </xf>
    <xf numFmtId="0" fontId="12" fillId="0" borderId="19" xfId="0" applyFont="1" applyBorder="1" applyAlignment="1">
      <alignment horizontal="center"/>
    </xf>
    <xf numFmtId="0" fontId="12" fillId="0" borderId="20" xfId="0" applyFont="1" applyBorder="1" applyAlignment="1">
      <alignment horizontal="center"/>
    </xf>
    <xf numFmtId="0" fontId="10" fillId="9" borderId="21" xfId="0" applyFont="1" applyFill="1" applyBorder="1" applyAlignment="1">
      <alignment horizontal="center"/>
    </xf>
    <xf numFmtId="0" fontId="12" fillId="0" borderId="17"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1" fillId="0" borderId="5" xfId="0" applyFont="1" applyBorder="1" applyProtection="1">
      <protection locked="0"/>
    </xf>
    <xf numFmtId="0" fontId="44" fillId="0" borderId="5" xfId="0" applyFont="1" applyBorder="1" applyProtection="1">
      <protection locked="0"/>
    </xf>
    <xf numFmtId="164" fontId="11" fillId="0" borderId="5" xfId="1" applyNumberFormat="1" applyFont="1" applyFill="1" applyBorder="1" applyAlignment="1" applyProtection="1"/>
    <xf numFmtId="0" fontId="8" fillId="3" borderId="5" xfId="0" applyFont="1" applyFill="1" applyBorder="1" applyProtection="1">
      <protection locked="0"/>
    </xf>
    <xf numFmtId="0" fontId="12" fillId="3" borderId="5" xfId="0" applyFont="1" applyFill="1" applyBorder="1" applyProtection="1">
      <protection locked="0"/>
    </xf>
    <xf numFmtId="0" fontId="11" fillId="0" borderId="5" xfId="0" applyFont="1" applyBorder="1"/>
    <xf numFmtId="164" fontId="11" fillId="4" borderId="5" xfId="1" applyNumberFormat="1" applyFont="1" applyFill="1" applyBorder="1" applyAlignment="1" applyProtection="1"/>
    <xf numFmtId="0" fontId="23" fillId="4" borderId="16" xfId="0" applyFont="1" applyFill="1" applyBorder="1"/>
    <xf numFmtId="164" fontId="11" fillId="4" borderId="5" xfId="1" applyNumberFormat="1" applyFont="1" applyFill="1" applyBorder="1" applyAlignment="1"/>
    <xf numFmtId="164" fontId="11" fillId="4" borderId="12" xfId="1" applyNumberFormat="1" applyFont="1" applyFill="1" applyBorder="1" applyAlignment="1"/>
    <xf numFmtId="164" fontId="25" fillId="0" borderId="0" xfId="0" applyNumberFormat="1" applyFont="1"/>
    <xf numFmtId="0" fontId="0" fillId="3" borderId="5" xfId="0" applyFill="1" applyBorder="1" applyProtection="1">
      <protection locked="0"/>
    </xf>
    <xf numFmtId="166" fontId="0" fillId="3" borderId="5" xfId="0" applyNumberFormat="1" applyFill="1" applyBorder="1" applyProtection="1">
      <protection locked="0"/>
    </xf>
    <xf numFmtId="49" fontId="8" fillId="3" borderId="5" xfId="0" applyNumberFormat="1" applyFont="1" applyFill="1" applyBorder="1" applyProtection="1">
      <protection locked="0"/>
    </xf>
    <xf numFmtId="166" fontId="8" fillId="3" borderId="5" xfId="0" applyNumberFormat="1" applyFont="1" applyFill="1" applyBorder="1" applyProtection="1">
      <protection locked="0"/>
    </xf>
  </cellXfs>
  <cellStyles count="6">
    <cellStyle name="Comma" xfId="1" builtinId="3"/>
    <cellStyle name="Comma 2" xfId="5"/>
    <cellStyle name="Currency" xfId="2" builtinId="4"/>
    <cellStyle name="Normal" xfId="0" builtinId="0"/>
    <cellStyle name="Normal 2" xfId="4"/>
    <cellStyle name="Percent" xfId="3" builtinId="5"/>
  </cellStyles>
  <dxfs count="0"/>
  <tableStyles count="0" defaultTableStyle="TableStyleMedium2" defaultPivotStyle="PivotStyleLight16"/>
  <colors>
    <mruColors>
      <color rgb="FFFFFFCC"/>
      <color rgb="FFCCFFCC"/>
      <color rgb="FF0043C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opLeftCell="A2" zoomScale="130" zoomScaleNormal="130" workbookViewId="0">
      <selection activeCell="A4" sqref="A4"/>
    </sheetView>
  </sheetViews>
  <sheetFormatPr defaultRowHeight="15" x14ac:dyDescent="0.25"/>
  <cols>
    <col min="1" max="1" width="138.42578125" customWidth="1"/>
  </cols>
  <sheetData>
    <row r="1" spans="1:5" ht="23.25" x14ac:dyDescent="0.35">
      <c r="A1" s="74" t="s">
        <v>0</v>
      </c>
    </row>
    <row r="2" spans="1:5" ht="51" customHeight="1" x14ac:dyDescent="0.25">
      <c r="A2" s="323" t="s">
        <v>1</v>
      </c>
      <c r="B2" s="323"/>
      <c r="C2" s="323"/>
      <c r="D2" s="323"/>
      <c r="E2" s="323"/>
    </row>
    <row r="3" spans="1:5" ht="53.25" customHeight="1" x14ac:dyDescent="0.25">
      <c r="A3" s="323" t="s">
        <v>2</v>
      </c>
      <c r="B3" s="323"/>
      <c r="C3" s="323"/>
      <c r="D3" s="323"/>
      <c r="E3" s="323"/>
    </row>
    <row r="4" spans="1:5" ht="27" customHeight="1" x14ac:dyDescent="0.25">
      <c r="A4" s="93"/>
      <c r="B4" s="93"/>
      <c r="C4" s="93"/>
      <c r="D4" s="93"/>
      <c r="E4" s="93"/>
    </row>
    <row r="5" spans="1:5" ht="23.25" x14ac:dyDescent="0.35">
      <c r="A5" s="106" t="s">
        <v>3</v>
      </c>
    </row>
    <row r="6" spans="1:5" ht="39" customHeight="1" x14ac:dyDescent="0.25">
      <c r="A6" s="107" t="s">
        <v>4</v>
      </c>
    </row>
    <row r="7" spans="1:5" ht="39" customHeight="1" x14ac:dyDescent="0.25">
      <c r="A7" s="107" t="s">
        <v>5</v>
      </c>
    </row>
    <row r="8" spans="1:5" ht="54.75" customHeight="1" x14ac:dyDescent="0.25">
      <c r="A8" s="107" t="s">
        <v>6</v>
      </c>
    </row>
    <row r="9" spans="1:5" ht="18.75" x14ac:dyDescent="0.3">
      <c r="A9" s="108"/>
    </row>
    <row r="10" spans="1:5" ht="56.25" x14ac:dyDescent="0.3">
      <c r="A10" s="108" t="s">
        <v>7</v>
      </c>
    </row>
  </sheetData>
  <sheetProtection sheet="1" objects="1" scenarios="1"/>
  <mergeCells count="2">
    <mergeCell ref="A3:E3"/>
    <mergeCell ref="A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7"/>
  <sheetViews>
    <sheetView zoomScale="130" zoomScaleNormal="130" workbookViewId="0">
      <selection activeCell="C38" sqref="C38"/>
    </sheetView>
  </sheetViews>
  <sheetFormatPr defaultRowHeight="15" x14ac:dyDescent="0.25"/>
  <cols>
    <col min="1" max="1" width="59.28515625" customWidth="1"/>
    <col min="2" max="5" width="15.28515625" customWidth="1"/>
    <col min="6" max="6" width="18.140625" customWidth="1"/>
    <col min="7" max="9" width="15.28515625" customWidth="1"/>
    <col min="10" max="10" width="19.7109375" customWidth="1"/>
    <col min="12" max="12" width="59.140625" customWidth="1"/>
    <col min="20" max="20" width="30.5703125" customWidth="1"/>
  </cols>
  <sheetData>
    <row r="1" spans="1:22" ht="35.25" customHeight="1" x14ac:dyDescent="0.25">
      <c r="A1" s="326" t="s">
        <v>8</v>
      </c>
      <c r="B1" s="326"/>
      <c r="C1" s="326"/>
      <c r="D1" s="326"/>
      <c r="E1" s="326"/>
      <c r="F1" s="303"/>
    </row>
    <row r="2" spans="1:22" ht="12.75" customHeight="1" x14ac:dyDescent="0.25">
      <c r="A2" s="104"/>
      <c r="B2" s="104"/>
      <c r="C2" s="104"/>
      <c r="D2" s="104"/>
      <c r="E2" s="104"/>
      <c r="F2" s="104"/>
    </row>
    <row r="3" spans="1:22" ht="48.75" customHeight="1" x14ac:dyDescent="0.25">
      <c r="A3" s="325" t="s">
        <v>9</v>
      </c>
      <c r="B3" s="325"/>
      <c r="C3" s="325"/>
      <c r="D3" s="325"/>
      <c r="E3" s="325"/>
      <c r="F3" s="302"/>
    </row>
    <row r="4" spans="1:22" ht="17.25" customHeight="1" x14ac:dyDescent="0.25">
      <c r="A4" s="105"/>
      <c r="B4" s="105"/>
      <c r="C4" s="105"/>
      <c r="D4" s="105"/>
      <c r="E4" s="105"/>
      <c r="F4" s="105"/>
    </row>
    <row r="5" spans="1:22" ht="24.75" customHeight="1" x14ac:dyDescent="0.35">
      <c r="A5" s="324" t="s">
        <v>10</v>
      </c>
      <c r="B5" s="324"/>
      <c r="C5" s="324"/>
      <c r="D5" s="324"/>
      <c r="E5" s="324"/>
      <c r="F5" s="301"/>
      <c r="T5" s="56" t="s">
        <v>11</v>
      </c>
      <c r="U5" s="57">
        <f>'2) Area Prod Econ Info'!$B$44</f>
        <v>1.2638888888888888</v>
      </c>
      <c r="V5" t="s">
        <v>12</v>
      </c>
    </row>
    <row r="6" spans="1:22" ht="62.25" customHeight="1" x14ac:dyDescent="0.25">
      <c r="A6" s="328" t="s">
        <v>13</v>
      </c>
      <c r="B6" s="328"/>
      <c r="C6" s="328"/>
      <c r="D6" s="328"/>
      <c r="E6" s="328"/>
      <c r="F6" s="304"/>
      <c r="T6" s="59" t="s">
        <v>14</v>
      </c>
      <c r="U6" s="60">
        <f>'2) Area Prod Econ Info'!$C$27</f>
        <v>3</v>
      </c>
    </row>
    <row r="7" spans="1:22" ht="21.75" customHeight="1" x14ac:dyDescent="0.25">
      <c r="A7" s="102"/>
      <c r="B7" s="102"/>
      <c r="C7" s="102"/>
      <c r="D7" s="102"/>
      <c r="E7" s="102"/>
      <c r="F7" s="102"/>
      <c r="T7" s="59"/>
      <c r="U7" s="60"/>
    </row>
    <row r="8" spans="1:22" ht="41.25" customHeight="1" x14ac:dyDescent="0.25">
      <c r="A8" s="329" t="s">
        <v>15</v>
      </c>
      <c r="B8" s="329"/>
      <c r="C8" s="329"/>
      <c r="D8" s="329"/>
      <c r="E8" s="329"/>
      <c r="F8" s="93"/>
      <c r="T8" s="61" t="s">
        <v>16</v>
      </c>
      <c r="U8" s="63">
        <f>'2) Area Prod Econ Info'!C16</f>
        <v>1.5</v>
      </c>
      <c r="V8" s="62"/>
    </row>
    <row r="9" spans="1:22" ht="24.75" customHeight="1" x14ac:dyDescent="0.3">
      <c r="A9" s="330" t="s">
        <v>17</v>
      </c>
      <c r="B9" s="330"/>
      <c r="C9" s="330"/>
      <c r="D9" s="330"/>
      <c r="E9" s="330"/>
      <c r="F9" s="305"/>
    </row>
    <row r="10" spans="1:22" ht="24.75" customHeight="1" x14ac:dyDescent="0.3">
      <c r="A10" s="331" t="s">
        <v>18</v>
      </c>
      <c r="B10" s="331"/>
      <c r="C10" s="331"/>
      <c r="D10" s="331"/>
      <c r="E10" s="331"/>
      <c r="F10" s="306"/>
    </row>
    <row r="11" spans="1:22" ht="24.75" customHeight="1" x14ac:dyDescent="0.3">
      <c r="A11" s="332" t="s">
        <v>19</v>
      </c>
      <c r="B11" s="332"/>
      <c r="C11" s="332"/>
      <c r="D11" s="332"/>
      <c r="E11" s="332"/>
      <c r="F11" s="307"/>
    </row>
    <row r="12" spans="1:22" ht="162.75" customHeight="1" x14ac:dyDescent="0.25">
      <c r="A12" s="327" t="s">
        <v>20</v>
      </c>
      <c r="B12" s="328"/>
      <c r="C12" s="328"/>
      <c r="D12" s="328"/>
      <c r="E12" s="328"/>
      <c r="F12" s="304"/>
    </row>
    <row r="13" spans="1:22" ht="15.75" x14ac:dyDescent="0.25">
      <c r="D13" s="58"/>
    </row>
    <row r="14" spans="1:22" ht="39.75" customHeight="1" x14ac:dyDescent="0.3">
      <c r="A14" s="241" t="s">
        <v>21</v>
      </c>
      <c r="B14" s="217" t="s">
        <v>22</v>
      </c>
      <c r="C14" s="217" t="s">
        <v>23</v>
      </c>
      <c r="D14" s="218" t="s">
        <v>24</v>
      </c>
      <c r="E14" s="217" t="s">
        <v>25</v>
      </c>
      <c r="F14" s="217" t="s">
        <v>26</v>
      </c>
      <c r="G14" s="217" t="s">
        <v>27</v>
      </c>
      <c r="H14" s="217" t="s">
        <v>28</v>
      </c>
      <c r="I14" s="217" t="s">
        <v>29</v>
      </c>
      <c r="J14" s="217" t="s">
        <v>30</v>
      </c>
      <c r="L14" s="69"/>
    </row>
    <row r="15" spans="1:22" ht="42.75" customHeight="1" x14ac:dyDescent="0.25">
      <c r="A15" s="242" t="s">
        <v>31</v>
      </c>
      <c r="B15" s="243" t="s">
        <v>32</v>
      </c>
      <c r="C15" s="244">
        <v>2031</v>
      </c>
      <c r="D15" s="245">
        <v>1.75</v>
      </c>
      <c r="E15" s="246">
        <f t="shared" ref="E15" si="0">D15*C15</f>
        <v>3554.25</v>
      </c>
      <c r="F15" s="247">
        <f>E15/$E$57</f>
        <v>3.4679246847840142E-2</v>
      </c>
      <c r="G15" s="248"/>
      <c r="H15" s="249"/>
      <c r="I15" s="250"/>
      <c r="J15" s="251"/>
      <c r="L15" s="69"/>
    </row>
    <row r="16" spans="1:22" ht="21" customHeight="1" x14ac:dyDescent="0.25">
      <c r="A16" s="252" t="s">
        <v>33</v>
      </c>
      <c r="B16" s="233" t="s">
        <v>32</v>
      </c>
      <c r="C16" s="234">
        <v>3830</v>
      </c>
      <c r="D16" s="223">
        <v>1.5</v>
      </c>
      <c r="E16" s="210">
        <f t="shared" ref="E16:E22" si="1">D16*C16</f>
        <v>5745</v>
      </c>
      <c r="F16" s="222">
        <f>E16/$E$57</f>
        <v>5.6054659391106869E-2</v>
      </c>
      <c r="G16" s="228">
        <v>20</v>
      </c>
      <c r="H16" s="229">
        <v>0</v>
      </c>
      <c r="I16" s="224">
        <f t="shared" ref="I16:I22" si="2">(E16-H16)/G16</f>
        <v>287.25</v>
      </c>
      <c r="J16" s="225">
        <f>I16/$I$57</f>
        <v>3.1227068895230331E-2</v>
      </c>
      <c r="L16" s="69"/>
    </row>
    <row r="17" spans="1:12" ht="21.75" customHeight="1" x14ac:dyDescent="0.25">
      <c r="A17" s="252" t="s">
        <v>34</v>
      </c>
      <c r="B17" s="223" t="s">
        <v>32</v>
      </c>
      <c r="C17" s="234">
        <v>2500</v>
      </c>
      <c r="D17" s="223">
        <v>1.5</v>
      </c>
      <c r="E17" s="210">
        <f t="shared" si="1"/>
        <v>3750</v>
      </c>
      <c r="F17" s="222">
        <f t="shared" ref="F17:F32" si="3">E17/$E$57</f>
        <v>3.6589203257902658E-2</v>
      </c>
      <c r="G17" s="228">
        <v>20</v>
      </c>
      <c r="H17" s="229">
        <v>0</v>
      </c>
      <c r="I17" s="224">
        <f t="shared" si="2"/>
        <v>187.5</v>
      </c>
      <c r="J17" s="225">
        <f t="shared" ref="J17:J32" si="4">I17/$I$57</f>
        <v>2.0383204239706482E-2</v>
      </c>
      <c r="K17" s="51"/>
      <c r="L17" s="70"/>
    </row>
    <row r="18" spans="1:12" ht="18.75" x14ac:dyDescent="0.25">
      <c r="A18" s="219" t="s">
        <v>35</v>
      </c>
      <c r="B18" s="223" t="s">
        <v>36</v>
      </c>
      <c r="C18" s="234">
        <v>1400</v>
      </c>
      <c r="D18" s="227">
        <v>1</v>
      </c>
      <c r="E18" s="210">
        <f t="shared" si="1"/>
        <v>1400</v>
      </c>
      <c r="F18" s="222">
        <f t="shared" si="3"/>
        <v>1.3659969216283659E-2</v>
      </c>
      <c r="G18" s="228">
        <v>15</v>
      </c>
      <c r="H18" s="229">
        <v>0</v>
      </c>
      <c r="I18" s="224">
        <f t="shared" si="2"/>
        <v>93.333333333333329</v>
      </c>
      <c r="J18" s="225">
        <f t="shared" si="4"/>
        <v>1.014630611043167E-2</v>
      </c>
      <c r="K18" s="51"/>
      <c r="L18" s="70"/>
    </row>
    <row r="19" spans="1:12" ht="18.75" x14ac:dyDescent="0.25">
      <c r="A19" s="219" t="s">
        <v>37</v>
      </c>
      <c r="B19" s="223" t="s">
        <v>36</v>
      </c>
      <c r="C19" s="234">
        <v>500</v>
      </c>
      <c r="D19" s="227">
        <v>1</v>
      </c>
      <c r="E19" s="210">
        <f t="shared" si="1"/>
        <v>500</v>
      </c>
      <c r="F19" s="222">
        <f t="shared" si="3"/>
        <v>4.8785604343870208E-3</v>
      </c>
      <c r="G19" s="228">
        <v>15</v>
      </c>
      <c r="H19" s="229">
        <v>0</v>
      </c>
      <c r="I19" s="224">
        <f t="shared" si="2"/>
        <v>33.333333333333336</v>
      </c>
      <c r="J19" s="225">
        <f t="shared" si="4"/>
        <v>3.6236807537255969E-3</v>
      </c>
      <c r="K19" s="51"/>
      <c r="L19" s="70"/>
    </row>
    <row r="20" spans="1:12" ht="18.75" x14ac:dyDescent="0.25">
      <c r="A20" s="219" t="s">
        <v>38</v>
      </c>
      <c r="B20" s="223" t="s">
        <v>39</v>
      </c>
      <c r="C20" s="234">
        <v>250</v>
      </c>
      <c r="D20" s="227">
        <v>3</v>
      </c>
      <c r="E20" s="210">
        <f t="shared" si="1"/>
        <v>750</v>
      </c>
      <c r="F20" s="222">
        <f t="shared" si="3"/>
        <v>7.3178406515805317E-3</v>
      </c>
      <c r="G20" s="228">
        <v>10</v>
      </c>
      <c r="H20" s="229">
        <v>0</v>
      </c>
      <c r="I20" s="224">
        <f t="shared" si="2"/>
        <v>75</v>
      </c>
      <c r="J20" s="225">
        <f t="shared" si="4"/>
        <v>8.1532816958825929E-3</v>
      </c>
      <c r="K20" s="51"/>
      <c r="L20" s="70"/>
    </row>
    <row r="21" spans="1:12" ht="18.75" x14ac:dyDescent="0.25">
      <c r="A21" s="219" t="s">
        <v>40</v>
      </c>
      <c r="B21" s="223" t="s">
        <v>36</v>
      </c>
      <c r="C21" s="234">
        <v>500</v>
      </c>
      <c r="D21" s="227">
        <v>1</v>
      </c>
      <c r="E21" s="210">
        <f t="shared" si="1"/>
        <v>500</v>
      </c>
      <c r="F21" s="222">
        <f t="shared" si="3"/>
        <v>4.8785604343870208E-3</v>
      </c>
      <c r="G21" s="228">
        <v>10</v>
      </c>
      <c r="H21" s="229">
        <v>0</v>
      </c>
      <c r="I21" s="224">
        <f t="shared" si="2"/>
        <v>50</v>
      </c>
      <c r="J21" s="225">
        <f t="shared" si="4"/>
        <v>5.4355211305883956E-3</v>
      </c>
      <c r="K21" s="51"/>
      <c r="L21" s="71"/>
    </row>
    <row r="22" spans="1:12" ht="18.75" x14ac:dyDescent="0.25">
      <c r="A22" s="219" t="s">
        <v>41</v>
      </c>
      <c r="B22" s="223" t="s">
        <v>42</v>
      </c>
      <c r="C22" s="253">
        <v>0</v>
      </c>
      <c r="D22" s="223">
        <v>0</v>
      </c>
      <c r="E22" s="210">
        <f t="shared" si="1"/>
        <v>0</v>
      </c>
      <c r="F22" s="222">
        <f t="shared" si="3"/>
        <v>0</v>
      </c>
      <c r="G22" s="228">
        <v>10</v>
      </c>
      <c r="H22" s="229">
        <v>0</v>
      </c>
      <c r="I22" s="224">
        <f t="shared" si="2"/>
        <v>0</v>
      </c>
      <c r="J22" s="225">
        <f t="shared" si="4"/>
        <v>0</v>
      </c>
      <c r="K22" s="51"/>
      <c r="L22" s="72"/>
    </row>
    <row r="23" spans="1:12" ht="19.5" customHeight="1" x14ac:dyDescent="0.25">
      <c r="A23" s="230" t="s">
        <v>43</v>
      </c>
      <c r="B23" s="223" t="s">
        <v>44</v>
      </c>
      <c r="C23" s="234">
        <v>5000</v>
      </c>
      <c r="D23" s="254">
        <f>U6+1</f>
        <v>4</v>
      </c>
      <c r="E23" s="210">
        <f t="shared" ref="E23:E32" si="5">D23*C23</f>
        <v>20000</v>
      </c>
      <c r="F23" s="222">
        <f t="shared" si="3"/>
        <v>0.19514241737548085</v>
      </c>
      <c r="G23" s="228">
        <v>20</v>
      </c>
      <c r="H23" s="229">
        <v>0</v>
      </c>
      <c r="I23" s="224">
        <f t="shared" ref="I23:I31" si="6">(E23-H23)/G23</f>
        <v>1000</v>
      </c>
      <c r="J23" s="225">
        <f t="shared" si="4"/>
        <v>0.1087104226117679</v>
      </c>
      <c r="K23" s="51"/>
      <c r="L23" s="72"/>
    </row>
    <row r="24" spans="1:12" ht="19.5" customHeight="1" x14ac:dyDescent="0.25">
      <c r="A24" s="226" t="s">
        <v>45</v>
      </c>
      <c r="B24" s="223" t="s">
        <v>46</v>
      </c>
      <c r="C24" s="234">
        <v>300</v>
      </c>
      <c r="D24" s="227">
        <v>15</v>
      </c>
      <c r="E24" s="210">
        <f t="shared" si="5"/>
        <v>4500</v>
      </c>
      <c r="F24" s="222">
        <f t="shared" si="3"/>
        <v>4.390704390948319E-2</v>
      </c>
      <c r="G24" s="228">
        <v>20</v>
      </c>
      <c r="H24" s="229">
        <v>0</v>
      </c>
      <c r="I24" s="224">
        <f t="shared" si="6"/>
        <v>225</v>
      </c>
      <c r="J24" s="225">
        <f t="shared" si="4"/>
        <v>2.4459845087647779E-2</v>
      </c>
      <c r="K24" s="51"/>
      <c r="L24" s="73" t="s">
        <v>47</v>
      </c>
    </row>
    <row r="25" spans="1:12" ht="19.5" customHeight="1" x14ac:dyDescent="0.25">
      <c r="A25" s="226" t="s">
        <v>48</v>
      </c>
      <c r="B25" s="223" t="s">
        <v>49</v>
      </c>
      <c r="C25" s="234">
        <v>800</v>
      </c>
      <c r="D25" s="223">
        <f>3*U6</f>
        <v>9</v>
      </c>
      <c r="E25" s="210">
        <f t="shared" si="5"/>
        <v>7200</v>
      </c>
      <c r="F25" s="222">
        <f t="shared" si="3"/>
        <v>7.0251270255173109E-2</v>
      </c>
      <c r="G25" s="228">
        <v>10</v>
      </c>
      <c r="H25" s="229">
        <v>0</v>
      </c>
      <c r="I25" s="224">
        <f t="shared" si="6"/>
        <v>720</v>
      </c>
      <c r="J25" s="225">
        <f t="shared" si="4"/>
        <v>7.8271504280472887E-2</v>
      </c>
      <c r="K25" s="51"/>
      <c r="L25" s="70"/>
    </row>
    <row r="26" spans="1:12" ht="19.5" customHeight="1" x14ac:dyDescent="0.25">
      <c r="A26" s="226" t="s">
        <v>50</v>
      </c>
      <c r="B26" s="223" t="s">
        <v>51</v>
      </c>
      <c r="C26" s="234">
        <v>1500</v>
      </c>
      <c r="D26" s="223">
        <f>2*U6</f>
        <v>6</v>
      </c>
      <c r="E26" s="210">
        <f t="shared" si="5"/>
        <v>9000</v>
      </c>
      <c r="F26" s="222">
        <f t="shared" si="3"/>
        <v>8.781408781896638E-2</v>
      </c>
      <c r="G26" s="228">
        <v>10</v>
      </c>
      <c r="H26" s="229">
        <v>0</v>
      </c>
      <c r="I26" s="224">
        <f t="shared" si="6"/>
        <v>900</v>
      </c>
      <c r="J26" s="225">
        <f t="shared" si="4"/>
        <v>9.7839380350591115E-2</v>
      </c>
      <c r="K26" s="51"/>
      <c r="L26" s="70"/>
    </row>
    <row r="27" spans="1:12" ht="18.75" customHeight="1" x14ac:dyDescent="0.25">
      <c r="A27" s="219" t="s">
        <v>52</v>
      </c>
      <c r="B27" s="223" t="s">
        <v>53</v>
      </c>
      <c r="C27" s="234">
        <v>500</v>
      </c>
      <c r="D27" s="223">
        <v>1</v>
      </c>
      <c r="E27" s="210">
        <f t="shared" si="5"/>
        <v>500</v>
      </c>
      <c r="F27" s="222">
        <f t="shared" si="3"/>
        <v>4.8785604343870208E-3</v>
      </c>
      <c r="G27" s="228">
        <v>5</v>
      </c>
      <c r="H27" s="229">
        <v>0</v>
      </c>
      <c r="I27" s="224">
        <f t="shared" si="6"/>
        <v>100</v>
      </c>
      <c r="J27" s="225">
        <f t="shared" si="4"/>
        <v>1.0871042261176791E-2</v>
      </c>
      <c r="K27" s="51"/>
      <c r="L27" s="72"/>
    </row>
    <row r="28" spans="1:12" ht="18.75" customHeight="1" x14ac:dyDescent="0.25">
      <c r="A28" s="219" t="s">
        <v>54</v>
      </c>
      <c r="B28" s="223" t="s">
        <v>53</v>
      </c>
      <c r="C28" s="234">
        <v>3500</v>
      </c>
      <c r="D28" s="223">
        <v>1</v>
      </c>
      <c r="E28" s="210">
        <f t="shared" si="5"/>
        <v>3500</v>
      </c>
      <c r="F28" s="222">
        <f t="shared" si="3"/>
        <v>3.414992304070915E-2</v>
      </c>
      <c r="G28" s="228">
        <v>15</v>
      </c>
      <c r="H28" s="229">
        <v>0</v>
      </c>
      <c r="I28" s="224">
        <f t="shared" si="6"/>
        <v>233.33333333333334</v>
      </c>
      <c r="J28" s="225">
        <f t="shared" si="4"/>
        <v>2.5365765276079179E-2</v>
      </c>
      <c r="K28" s="51"/>
      <c r="L28" s="72"/>
    </row>
    <row r="29" spans="1:12" ht="18.75" customHeight="1" x14ac:dyDescent="0.25">
      <c r="A29" s="226" t="s">
        <v>55</v>
      </c>
      <c r="B29" s="223" t="s">
        <v>56</v>
      </c>
      <c r="C29" s="234">
        <v>600</v>
      </c>
      <c r="D29" s="223">
        <v>3</v>
      </c>
      <c r="E29" s="210">
        <f t="shared" si="5"/>
        <v>1800</v>
      </c>
      <c r="F29" s="222">
        <f t="shared" si="3"/>
        <v>1.7562817563793277E-2</v>
      </c>
      <c r="G29" s="228">
        <v>10</v>
      </c>
      <c r="H29" s="229">
        <v>0</v>
      </c>
      <c r="I29" s="224">
        <f t="shared" si="6"/>
        <v>180</v>
      </c>
      <c r="J29" s="225">
        <f t="shared" si="4"/>
        <v>1.9567876070118222E-2</v>
      </c>
      <c r="K29" s="51"/>
      <c r="L29" s="72" t="s">
        <v>57</v>
      </c>
    </row>
    <row r="30" spans="1:12" ht="18.75" customHeight="1" x14ac:dyDescent="0.25">
      <c r="A30" s="226" t="s">
        <v>58</v>
      </c>
      <c r="B30" s="223" t="s">
        <v>36</v>
      </c>
      <c r="C30" s="234">
        <v>500</v>
      </c>
      <c r="D30" s="227">
        <v>2</v>
      </c>
      <c r="E30" s="210">
        <f t="shared" si="5"/>
        <v>1000</v>
      </c>
      <c r="F30" s="222">
        <f t="shared" si="3"/>
        <v>9.7571208687740416E-3</v>
      </c>
      <c r="G30" s="228">
        <v>10</v>
      </c>
      <c r="H30" s="229">
        <v>0</v>
      </c>
      <c r="I30" s="224">
        <f t="shared" si="6"/>
        <v>100</v>
      </c>
      <c r="J30" s="225">
        <f t="shared" si="4"/>
        <v>1.0871042261176791E-2</v>
      </c>
      <c r="K30" s="51"/>
      <c r="L30" s="72"/>
    </row>
    <row r="31" spans="1:12" ht="18.75" customHeight="1" x14ac:dyDescent="0.25">
      <c r="A31" s="226" t="s">
        <v>59</v>
      </c>
      <c r="B31" s="223" t="s">
        <v>36</v>
      </c>
      <c r="C31" s="234">
        <v>1000</v>
      </c>
      <c r="D31" s="227">
        <v>1</v>
      </c>
      <c r="E31" s="210">
        <f t="shared" si="5"/>
        <v>1000</v>
      </c>
      <c r="F31" s="222">
        <f t="shared" si="3"/>
        <v>9.7571208687740416E-3</v>
      </c>
      <c r="G31" s="228">
        <v>10</v>
      </c>
      <c r="H31" s="229">
        <v>0</v>
      </c>
      <c r="I31" s="224">
        <f t="shared" si="6"/>
        <v>100</v>
      </c>
      <c r="J31" s="225">
        <f t="shared" si="4"/>
        <v>1.0871042261176791E-2</v>
      </c>
      <c r="K31" s="51"/>
      <c r="L31" s="72"/>
    </row>
    <row r="32" spans="1:12" ht="21.75" customHeight="1" x14ac:dyDescent="0.25">
      <c r="A32" s="255" t="s">
        <v>60</v>
      </c>
      <c r="B32" s="223" t="s">
        <v>36</v>
      </c>
      <c r="C32" s="234">
        <v>2500</v>
      </c>
      <c r="D32" s="227">
        <v>0</v>
      </c>
      <c r="E32" s="210">
        <f t="shared" si="5"/>
        <v>0</v>
      </c>
      <c r="F32" s="222">
        <f t="shared" si="3"/>
        <v>0</v>
      </c>
      <c r="G32" s="256"/>
      <c r="H32" s="257"/>
      <c r="I32" s="224"/>
      <c r="J32" s="225">
        <f t="shared" si="4"/>
        <v>0</v>
      </c>
      <c r="K32" s="51"/>
      <c r="L32" s="72"/>
    </row>
    <row r="33" spans="1:12" ht="21.75" customHeight="1" x14ac:dyDescent="0.25">
      <c r="A33" s="258" t="s">
        <v>61</v>
      </c>
      <c r="B33" s="259"/>
      <c r="C33" s="210"/>
      <c r="D33" s="238"/>
      <c r="E33" s="210">
        <f>SUM(E15:E32)</f>
        <v>64699.25</v>
      </c>
      <c r="F33" s="222">
        <f>SUM(F16:F32)</f>
        <v>0.59659915552118881</v>
      </c>
      <c r="G33" s="256"/>
      <c r="H33" s="257"/>
      <c r="I33" s="224">
        <f>SUM(I16:I32)</f>
        <v>4284.75</v>
      </c>
      <c r="J33" s="225">
        <f>SUM(J16:J32)</f>
        <v>0.46579698328577257</v>
      </c>
      <c r="K33" s="51"/>
      <c r="L33" s="72"/>
    </row>
    <row r="34" spans="1:12" ht="18.75" x14ac:dyDescent="0.25">
      <c r="A34" s="52"/>
      <c r="B34" s="2"/>
      <c r="C34" s="53"/>
      <c r="D34" s="51"/>
      <c r="E34" s="67"/>
      <c r="F34" s="67"/>
      <c r="G34" s="51"/>
      <c r="H34" s="51"/>
      <c r="I34" s="51"/>
      <c r="J34" s="109"/>
      <c r="K34" s="51"/>
      <c r="L34" s="72"/>
    </row>
    <row r="35" spans="1:12" ht="31.5" x14ac:dyDescent="0.25">
      <c r="A35" s="216" t="s">
        <v>62</v>
      </c>
      <c r="B35" s="217" t="s">
        <v>22</v>
      </c>
      <c r="C35" s="217" t="s">
        <v>23</v>
      </c>
      <c r="D35" s="218" t="s">
        <v>24</v>
      </c>
      <c r="E35" s="217" t="s">
        <v>25</v>
      </c>
      <c r="F35" s="217" t="s">
        <v>26</v>
      </c>
      <c r="G35" s="217" t="s">
        <v>27</v>
      </c>
      <c r="H35" s="217" t="s">
        <v>28</v>
      </c>
      <c r="I35" s="217" t="s">
        <v>29</v>
      </c>
      <c r="J35" s="217" t="s">
        <v>63</v>
      </c>
      <c r="K35" s="51"/>
      <c r="L35" s="72"/>
    </row>
    <row r="36" spans="1:12" ht="18.75" x14ac:dyDescent="0.25">
      <c r="A36" s="219" t="s">
        <v>64</v>
      </c>
      <c r="B36" s="220" t="s">
        <v>65</v>
      </c>
      <c r="C36" s="128">
        <v>0</v>
      </c>
      <c r="D36" s="221">
        <v>0</v>
      </c>
      <c r="E36" s="210">
        <f t="shared" ref="E36:E54" si="7">D36*C36</f>
        <v>0</v>
      </c>
      <c r="F36" s="222">
        <f>E36/$E$57</f>
        <v>0</v>
      </c>
      <c r="G36" s="223">
        <v>15</v>
      </c>
      <c r="H36" s="223">
        <v>0</v>
      </c>
      <c r="I36" s="224">
        <f t="shared" ref="I36:I54" si="8">(E36-H36)/G36</f>
        <v>0</v>
      </c>
      <c r="J36" s="225">
        <f>I36/$I$57</f>
        <v>0</v>
      </c>
      <c r="K36" s="51"/>
      <c r="L36" s="72"/>
    </row>
    <row r="37" spans="1:12" ht="18.75" x14ac:dyDescent="0.25">
      <c r="A37" s="226" t="s">
        <v>66</v>
      </c>
      <c r="B37" s="220" t="s">
        <v>36</v>
      </c>
      <c r="C37" s="128">
        <v>10</v>
      </c>
      <c r="D37" s="227">
        <v>25</v>
      </c>
      <c r="E37" s="210">
        <f t="shared" si="7"/>
        <v>250</v>
      </c>
      <c r="F37" s="222">
        <f t="shared" ref="F37:F54" si="9">E37/$E$57</f>
        <v>2.4392802171935104E-3</v>
      </c>
      <c r="G37" s="228">
        <v>5</v>
      </c>
      <c r="H37" s="229">
        <v>0</v>
      </c>
      <c r="I37" s="224">
        <f t="shared" si="8"/>
        <v>50</v>
      </c>
      <c r="J37" s="225">
        <f t="shared" ref="J37:J54" si="10">I37/$I$57</f>
        <v>5.4355211305883956E-3</v>
      </c>
      <c r="K37" s="51"/>
      <c r="L37" s="72"/>
    </row>
    <row r="38" spans="1:12" ht="18.75" x14ac:dyDescent="0.25">
      <c r="A38" s="226" t="s">
        <v>67</v>
      </c>
      <c r="B38" s="220" t="s">
        <v>36</v>
      </c>
      <c r="C38" s="128">
        <v>1500</v>
      </c>
      <c r="D38" s="227">
        <v>3</v>
      </c>
      <c r="E38" s="210">
        <f t="shared" si="7"/>
        <v>4500</v>
      </c>
      <c r="F38" s="222">
        <f t="shared" si="9"/>
        <v>4.390704390948319E-2</v>
      </c>
      <c r="G38" s="228">
        <v>10</v>
      </c>
      <c r="H38" s="229">
        <v>0</v>
      </c>
      <c r="I38" s="224">
        <f t="shared" si="8"/>
        <v>450</v>
      </c>
      <c r="J38" s="225">
        <f t="shared" si="10"/>
        <v>4.8919690175295558E-2</v>
      </c>
      <c r="K38" s="51"/>
      <c r="L38" s="72"/>
    </row>
    <row r="39" spans="1:12" ht="18.75" x14ac:dyDescent="0.25">
      <c r="A39" s="226" t="s">
        <v>68</v>
      </c>
      <c r="B39" s="220" t="s">
        <v>36</v>
      </c>
      <c r="C39" s="128">
        <v>1500</v>
      </c>
      <c r="D39" s="227">
        <v>3</v>
      </c>
      <c r="E39" s="210">
        <f t="shared" si="7"/>
        <v>4500</v>
      </c>
      <c r="F39" s="222">
        <f t="shared" si="9"/>
        <v>4.390704390948319E-2</v>
      </c>
      <c r="G39" s="228">
        <v>10</v>
      </c>
      <c r="H39" s="229">
        <v>0</v>
      </c>
      <c r="I39" s="224">
        <f t="shared" si="8"/>
        <v>450</v>
      </c>
      <c r="J39" s="225">
        <f t="shared" si="10"/>
        <v>4.8919690175295558E-2</v>
      </c>
      <c r="K39" s="51"/>
      <c r="L39" s="72"/>
    </row>
    <row r="40" spans="1:12" ht="18.75" x14ac:dyDescent="0.25">
      <c r="A40" s="219" t="s">
        <v>69</v>
      </c>
      <c r="B40" s="220" t="s">
        <v>36</v>
      </c>
      <c r="C40" s="128">
        <v>3000</v>
      </c>
      <c r="D40" s="227">
        <v>2</v>
      </c>
      <c r="E40" s="210">
        <f t="shared" si="7"/>
        <v>6000</v>
      </c>
      <c r="F40" s="222">
        <f t="shared" si="9"/>
        <v>5.8542725212644253E-2</v>
      </c>
      <c r="G40" s="228">
        <v>10</v>
      </c>
      <c r="H40" s="229">
        <v>0</v>
      </c>
      <c r="I40" s="224">
        <f t="shared" si="8"/>
        <v>600</v>
      </c>
      <c r="J40" s="225">
        <f t="shared" si="10"/>
        <v>6.5226253567060744E-2</v>
      </c>
      <c r="K40" s="51"/>
      <c r="L40" s="72"/>
    </row>
    <row r="41" spans="1:12" ht="18.75" x14ac:dyDescent="0.25">
      <c r="A41" s="219" t="s">
        <v>70</v>
      </c>
      <c r="B41" s="220" t="s">
        <v>71</v>
      </c>
      <c r="C41" s="128">
        <v>880</v>
      </c>
      <c r="D41" s="227">
        <v>3</v>
      </c>
      <c r="E41" s="210">
        <f t="shared" si="7"/>
        <v>2640</v>
      </c>
      <c r="F41" s="222">
        <f t="shared" si="9"/>
        <v>2.5758799093563472E-2</v>
      </c>
      <c r="G41" s="228">
        <v>10</v>
      </c>
      <c r="H41" s="229">
        <v>0</v>
      </c>
      <c r="I41" s="224">
        <f t="shared" si="8"/>
        <v>264</v>
      </c>
      <c r="J41" s="225">
        <f t="shared" si="10"/>
        <v>2.8699551569506727E-2</v>
      </c>
      <c r="K41" s="51"/>
      <c r="L41" s="72"/>
    </row>
    <row r="42" spans="1:12" ht="18.75" x14ac:dyDescent="0.25">
      <c r="A42" s="230" t="s">
        <v>72</v>
      </c>
      <c r="B42" s="220" t="s">
        <v>36</v>
      </c>
      <c r="C42" s="128">
        <v>1200</v>
      </c>
      <c r="D42" s="227">
        <v>7</v>
      </c>
      <c r="E42" s="210">
        <f t="shared" si="7"/>
        <v>8400</v>
      </c>
      <c r="F42" s="222">
        <f t="shared" si="9"/>
        <v>8.1959815297701952E-2</v>
      </c>
      <c r="G42" s="228">
        <v>5</v>
      </c>
      <c r="H42" s="229">
        <v>0</v>
      </c>
      <c r="I42" s="224">
        <f t="shared" si="8"/>
        <v>1680</v>
      </c>
      <c r="J42" s="225">
        <f t="shared" si="10"/>
        <v>0.18263350998777009</v>
      </c>
      <c r="K42" s="51"/>
      <c r="L42" s="72" t="s">
        <v>73</v>
      </c>
    </row>
    <row r="43" spans="1:12" ht="18.75" x14ac:dyDescent="0.25">
      <c r="A43" s="231" t="s">
        <v>74</v>
      </c>
      <c r="B43" s="220"/>
      <c r="C43" s="128">
        <v>0</v>
      </c>
      <c r="D43" s="227">
        <v>0</v>
      </c>
      <c r="E43" s="210">
        <f t="shared" si="7"/>
        <v>0</v>
      </c>
      <c r="F43" s="222">
        <f t="shared" si="9"/>
        <v>0</v>
      </c>
      <c r="G43" s="228">
        <v>5</v>
      </c>
      <c r="H43" s="229">
        <v>0</v>
      </c>
      <c r="I43" s="224"/>
      <c r="J43" s="225">
        <f t="shared" si="10"/>
        <v>0</v>
      </c>
      <c r="K43" s="51"/>
      <c r="L43" s="72"/>
    </row>
    <row r="44" spans="1:12" ht="18.75" x14ac:dyDescent="0.25">
      <c r="A44" s="219" t="s">
        <v>75</v>
      </c>
      <c r="B44" s="220" t="s">
        <v>36</v>
      </c>
      <c r="C44" s="128">
        <v>2500</v>
      </c>
      <c r="D44" s="227">
        <v>1</v>
      </c>
      <c r="E44" s="210">
        <f t="shared" si="7"/>
        <v>2500</v>
      </c>
      <c r="F44" s="222">
        <f t="shared" si="9"/>
        <v>2.4392802171935107E-2</v>
      </c>
      <c r="G44" s="228">
        <v>5</v>
      </c>
      <c r="H44" s="229">
        <v>0</v>
      </c>
      <c r="I44" s="224">
        <f t="shared" si="8"/>
        <v>500</v>
      </c>
      <c r="J44" s="225">
        <f t="shared" si="10"/>
        <v>5.4355211305883951E-2</v>
      </c>
      <c r="K44" s="51"/>
      <c r="L44" s="72"/>
    </row>
    <row r="45" spans="1:12" ht="18.75" x14ac:dyDescent="0.25">
      <c r="A45" s="219" t="s">
        <v>76</v>
      </c>
      <c r="B45" s="220" t="s">
        <v>36</v>
      </c>
      <c r="C45" s="128">
        <v>200</v>
      </c>
      <c r="D45" s="227">
        <v>1</v>
      </c>
      <c r="E45" s="210">
        <f t="shared" si="7"/>
        <v>200</v>
      </c>
      <c r="F45" s="222">
        <f t="shared" si="9"/>
        <v>1.9514241737548085E-3</v>
      </c>
      <c r="G45" s="228">
        <v>5</v>
      </c>
      <c r="H45" s="229">
        <v>0</v>
      </c>
      <c r="I45" s="224">
        <f t="shared" si="8"/>
        <v>40</v>
      </c>
      <c r="J45" s="225">
        <f t="shared" si="10"/>
        <v>4.3484169044707161E-3</v>
      </c>
      <c r="K45" s="51"/>
      <c r="L45" s="72"/>
    </row>
    <row r="46" spans="1:12" ht="18.75" x14ac:dyDescent="0.25">
      <c r="A46" s="219" t="s">
        <v>77</v>
      </c>
      <c r="B46" s="220" t="s">
        <v>36</v>
      </c>
      <c r="C46" s="128">
        <v>4000</v>
      </c>
      <c r="D46" s="227">
        <v>1</v>
      </c>
      <c r="E46" s="210">
        <f t="shared" si="7"/>
        <v>4000</v>
      </c>
      <c r="F46" s="222">
        <f t="shared" si="9"/>
        <v>3.9028483475096166E-2</v>
      </c>
      <c r="G46" s="228">
        <v>10</v>
      </c>
      <c r="H46" s="229">
        <v>0</v>
      </c>
      <c r="I46" s="224">
        <f t="shared" si="8"/>
        <v>400</v>
      </c>
      <c r="J46" s="225">
        <f t="shared" si="10"/>
        <v>4.3484169044707165E-2</v>
      </c>
      <c r="K46" s="51"/>
      <c r="L46" s="72"/>
    </row>
    <row r="47" spans="1:12" ht="18.75" x14ac:dyDescent="0.25">
      <c r="A47" s="219" t="s">
        <v>78</v>
      </c>
      <c r="B47" s="220" t="s">
        <v>36</v>
      </c>
      <c r="C47" s="128">
        <v>500</v>
      </c>
      <c r="D47" s="227">
        <v>2</v>
      </c>
      <c r="E47" s="210">
        <f t="shared" si="7"/>
        <v>1000</v>
      </c>
      <c r="F47" s="222">
        <f t="shared" si="9"/>
        <v>9.7571208687740416E-3</v>
      </c>
      <c r="G47" s="228">
        <v>10</v>
      </c>
      <c r="H47" s="229">
        <v>0</v>
      </c>
      <c r="I47" s="224">
        <f t="shared" si="8"/>
        <v>100</v>
      </c>
      <c r="J47" s="225">
        <f t="shared" si="10"/>
        <v>1.0871042261176791E-2</v>
      </c>
      <c r="K47" s="51"/>
      <c r="L47" s="72"/>
    </row>
    <row r="48" spans="1:12" ht="18.75" x14ac:dyDescent="0.25">
      <c r="A48" s="219" t="s">
        <v>79</v>
      </c>
      <c r="B48" s="220" t="s">
        <v>36</v>
      </c>
      <c r="C48" s="128">
        <v>500</v>
      </c>
      <c r="D48" s="227">
        <v>1</v>
      </c>
      <c r="E48" s="210">
        <f t="shared" si="7"/>
        <v>500</v>
      </c>
      <c r="F48" s="222">
        <f t="shared" si="9"/>
        <v>4.8785604343870208E-3</v>
      </c>
      <c r="G48" s="228">
        <v>10</v>
      </c>
      <c r="H48" s="229">
        <v>0</v>
      </c>
      <c r="I48" s="224">
        <f t="shared" si="8"/>
        <v>50</v>
      </c>
      <c r="J48" s="225">
        <f t="shared" si="10"/>
        <v>5.4355211305883956E-3</v>
      </c>
      <c r="K48" s="51"/>
      <c r="L48" s="72"/>
    </row>
    <row r="49" spans="1:12" ht="18.75" x14ac:dyDescent="0.25">
      <c r="A49" s="219" t="s">
        <v>80</v>
      </c>
      <c r="B49" s="220" t="s">
        <v>36</v>
      </c>
      <c r="C49" s="128">
        <v>2500</v>
      </c>
      <c r="D49" s="227">
        <v>1</v>
      </c>
      <c r="E49" s="210">
        <f t="shared" si="7"/>
        <v>2500</v>
      </c>
      <c r="F49" s="222">
        <f t="shared" si="9"/>
        <v>2.4392802171935107E-2</v>
      </c>
      <c r="G49" s="228">
        <v>10</v>
      </c>
      <c r="H49" s="229">
        <v>0</v>
      </c>
      <c r="I49" s="224">
        <f t="shared" si="8"/>
        <v>250</v>
      </c>
      <c r="J49" s="225">
        <f t="shared" si="10"/>
        <v>2.7177605652941975E-2</v>
      </c>
      <c r="K49" s="51"/>
      <c r="L49" s="72"/>
    </row>
    <row r="50" spans="1:12" ht="18.75" x14ac:dyDescent="0.25">
      <c r="A50" s="219" t="s">
        <v>81</v>
      </c>
      <c r="B50" s="220" t="s">
        <v>36</v>
      </c>
      <c r="C50" s="128">
        <v>200</v>
      </c>
      <c r="D50" s="227">
        <v>4</v>
      </c>
      <c r="E50" s="210">
        <f t="shared" si="7"/>
        <v>800</v>
      </c>
      <c r="F50" s="222">
        <f t="shared" si="9"/>
        <v>7.805696695019234E-3</v>
      </c>
      <c r="G50" s="228">
        <v>10</v>
      </c>
      <c r="H50" s="229">
        <v>0</v>
      </c>
      <c r="I50" s="224">
        <f t="shared" si="8"/>
        <v>80</v>
      </c>
      <c r="J50" s="225">
        <f t="shared" si="10"/>
        <v>8.6968338089414322E-3</v>
      </c>
      <c r="K50" s="51"/>
      <c r="L50" s="72"/>
    </row>
    <row r="51" spans="1:12" ht="18.75" x14ac:dyDescent="0.25">
      <c r="A51" s="219" t="s">
        <v>82</v>
      </c>
      <c r="B51" s="220"/>
      <c r="C51" s="128">
        <v>0</v>
      </c>
      <c r="D51" s="227">
        <v>0</v>
      </c>
      <c r="E51" s="210">
        <f t="shared" si="7"/>
        <v>0</v>
      </c>
      <c r="F51" s="222">
        <f t="shared" si="9"/>
        <v>0</v>
      </c>
      <c r="G51" s="228">
        <v>1</v>
      </c>
      <c r="H51" s="229">
        <v>0</v>
      </c>
      <c r="I51" s="224">
        <f t="shared" si="8"/>
        <v>0</v>
      </c>
      <c r="J51" s="225">
        <f t="shared" si="10"/>
        <v>0</v>
      </c>
      <c r="K51" s="51"/>
      <c r="L51" s="72"/>
    </row>
    <row r="52" spans="1:12" ht="18.75" x14ac:dyDescent="0.25">
      <c r="A52" s="219" t="s">
        <v>83</v>
      </c>
      <c r="B52" s="220"/>
      <c r="C52" s="128"/>
      <c r="D52" s="227"/>
      <c r="E52" s="210">
        <f t="shared" si="7"/>
        <v>0</v>
      </c>
      <c r="F52" s="222">
        <f t="shared" si="9"/>
        <v>0</v>
      </c>
      <c r="G52" s="228">
        <v>1</v>
      </c>
      <c r="H52" s="229">
        <v>0</v>
      </c>
      <c r="I52" s="224">
        <f t="shared" si="8"/>
        <v>0</v>
      </c>
      <c r="J52" s="225">
        <f t="shared" si="10"/>
        <v>0</v>
      </c>
      <c r="K52" s="51"/>
      <c r="L52" s="72"/>
    </row>
    <row r="53" spans="1:12" ht="15.75" x14ac:dyDescent="0.25">
      <c r="A53" s="232" t="s">
        <v>84</v>
      </c>
      <c r="B53" s="233" t="s">
        <v>36</v>
      </c>
      <c r="C53" s="234">
        <v>0</v>
      </c>
      <c r="D53" s="227">
        <v>0</v>
      </c>
      <c r="E53" s="210">
        <f t="shared" si="7"/>
        <v>0</v>
      </c>
      <c r="F53" s="222">
        <f t="shared" si="9"/>
        <v>0</v>
      </c>
      <c r="G53" s="228">
        <v>10</v>
      </c>
      <c r="H53" s="229">
        <v>0</v>
      </c>
      <c r="I53" s="224">
        <f t="shared" si="8"/>
        <v>0</v>
      </c>
      <c r="J53" s="225">
        <f t="shared" si="10"/>
        <v>0</v>
      </c>
      <c r="K53" s="54"/>
      <c r="L53" s="3"/>
    </row>
    <row r="54" spans="1:12" ht="15.75" x14ac:dyDescent="0.25">
      <c r="A54" s="232" t="s">
        <v>84</v>
      </c>
      <c r="B54" s="233" t="s">
        <v>36</v>
      </c>
      <c r="C54" s="234">
        <v>0</v>
      </c>
      <c r="D54" s="227">
        <v>0</v>
      </c>
      <c r="E54" s="210">
        <f t="shared" si="7"/>
        <v>0</v>
      </c>
      <c r="F54" s="222">
        <f t="shared" si="9"/>
        <v>0</v>
      </c>
      <c r="G54" s="228">
        <v>10</v>
      </c>
      <c r="H54" s="229">
        <v>0</v>
      </c>
      <c r="I54" s="224">
        <f t="shared" si="8"/>
        <v>0</v>
      </c>
      <c r="J54" s="225">
        <f t="shared" si="10"/>
        <v>0</v>
      </c>
      <c r="K54" s="54"/>
      <c r="L54" s="3"/>
    </row>
    <row r="55" spans="1:12" ht="15.75" x14ac:dyDescent="0.25">
      <c r="A55" s="235" t="s">
        <v>85</v>
      </c>
      <c r="B55" s="236"/>
      <c r="C55" s="237"/>
      <c r="D55" s="238"/>
      <c r="E55" s="210">
        <f>SUM(E36:E54)</f>
        <v>37790</v>
      </c>
      <c r="F55" s="222">
        <f>SUM(F36:F54)</f>
        <v>0.36872159763097112</v>
      </c>
      <c r="G55" s="239"/>
      <c r="H55" s="240"/>
      <c r="I55" s="224">
        <f>SUM(I36:I54)</f>
        <v>4914</v>
      </c>
      <c r="J55" s="225">
        <f>SUM(J36:J54)</f>
        <v>0.53420301671422754</v>
      </c>
      <c r="K55" s="54"/>
      <c r="L55" s="3"/>
    </row>
    <row r="56" spans="1:12" ht="15.75" x14ac:dyDescent="0.25">
      <c r="A56" s="163"/>
      <c r="B56" s="164"/>
      <c r="C56" s="165"/>
      <c r="D56" s="166"/>
      <c r="E56" s="167"/>
      <c r="F56" s="167"/>
      <c r="G56" s="168"/>
      <c r="H56" s="169"/>
      <c r="I56" s="170"/>
      <c r="J56" s="109"/>
      <c r="K56" s="54"/>
      <c r="L56" s="3"/>
    </row>
    <row r="57" spans="1:12" ht="15.75" x14ac:dyDescent="0.25">
      <c r="A57" s="208" t="s">
        <v>86</v>
      </c>
      <c r="B57" s="209"/>
      <c r="C57" s="210"/>
      <c r="D57" s="211"/>
      <c r="E57" s="212">
        <f>E55+E33</f>
        <v>102489.25</v>
      </c>
      <c r="F57" s="213">
        <f>F55+F33</f>
        <v>0.96532075315215993</v>
      </c>
      <c r="G57" s="211"/>
      <c r="H57" s="214"/>
      <c r="I57" s="212">
        <f>I55+I33</f>
        <v>9198.75</v>
      </c>
      <c r="J57" s="215">
        <f>J55+J33</f>
        <v>1</v>
      </c>
      <c r="K57" s="55"/>
      <c r="L57" s="3"/>
    </row>
  </sheetData>
  <sheetProtection sheet="1" objects="1" scenarios="1"/>
  <protectedRanges>
    <protectedRange sqref="D15" name="Range2"/>
    <protectedRange sqref="C15" name="Range1"/>
  </protectedRanges>
  <mergeCells count="9">
    <mergeCell ref="A5:E5"/>
    <mergeCell ref="A3:E3"/>
    <mergeCell ref="A1:E1"/>
    <mergeCell ref="A12:E12"/>
    <mergeCell ref="A6:E6"/>
    <mergeCell ref="A8:E8"/>
    <mergeCell ref="A9:E9"/>
    <mergeCell ref="A10:E10"/>
    <mergeCell ref="A11:E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6"/>
  <sheetViews>
    <sheetView topLeftCell="A38" zoomScale="150" zoomScaleNormal="150" workbookViewId="0">
      <selection activeCell="A53" sqref="A53"/>
    </sheetView>
  </sheetViews>
  <sheetFormatPr defaultRowHeight="15" x14ac:dyDescent="0.25"/>
  <cols>
    <col min="1" max="1" width="44.42578125" customWidth="1"/>
    <col min="2" max="2" width="16" customWidth="1"/>
    <col min="3" max="4" width="15.5703125" customWidth="1"/>
    <col min="5" max="5" width="17.140625" customWidth="1"/>
    <col min="6" max="6" width="22.140625" customWidth="1"/>
    <col min="7" max="7" width="23.7109375" customWidth="1"/>
    <col min="8" max="8" width="28.42578125" customWidth="1"/>
    <col min="9" max="9" width="30.28515625" customWidth="1"/>
    <col min="10" max="10" width="71.28515625" customWidth="1"/>
    <col min="11" max="11" width="37.7109375" customWidth="1"/>
    <col min="12" max="12" width="32.28515625" customWidth="1"/>
  </cols>
  <sheetData>
    <row r="1" spans="1:5" ht="38.25" customHeight="1" x14ac:dyDescent="0.25">
      <c r="A1" s="333" t="s">
        <v>87</v>
      </c>
      <c r="B1" s="333"/>
      <c r="C1" s="333"/>
      <c r="D1" s="333"/>
      <c r="E1" s="333"/>
    </row>
    <row r="2" spans="1:5" ht="21" customHeight="1" x14ac:dyDescent="0.25">
      <c r="A2" s="99"/>
      <c r="B2" s="99"/>
      <c r="C2" s="99"/>
      <c r="D2" s="99"/>
      <c r="E2" s="99"/>
    </row>
    <row r="3" spans="1:5" ht="23.25" x14ac:dyDescent="0.35">
      <c r="A3" s="301" t="s">
        <v>10</v>
      </c>
      <c r="B3" s="100"/>
      <c r="C3" s="100"/>
      <c r="D3" s="101"/>
      <c r="E3" s="101"/>
    </row>
    <row r="4" spans="1:5" ht="108" customHeight="1" x14ac:dyDescent="0.25">
      <c r="A4" s="328" t="s">
        <v>88</v>
      </c>
      <c r="B4" s="328"/>
      <c r="C4" s="328"/>
      <c r="D4" s="328"/>
      <c r="E4" s="328"/>
    </row>
    <row r="5" spans="1:5" ht="24" customHeight="1" x14ac:dyDescent="0.25">
      <c r="A5" s="102"/>
      <c r="B5" s="102"/>
      <c r="C5" s="102"/>
      <c r="D5" s="102"/>
      <c r="E5" s="102"/>
    </row>
    <row r="6" spans="1:5" ht="47.25" customHeight="1" x14ac:dyDescent="0.25">
      <c r="A6" s="329" t="s">
        <v>15</v>
      </c>
      <c r="B6" s="329"/>
      <c r="C6" s="329"/>
      <c r="D6" s="329"/>
      <c r="E6" s="329"/>
    </row>
    <row r="7" spans="1:5" ht="23.25" customHeight="1" x14ac:dyDescent="0.3">
      <c r="A7" s="330" t="s">
        <v>89</v>
      </c>
      <c r="B7" s="330"/>
      <c r="C7" s="330"/>
      <c r="D7" s="330"/>
      <c r="E7" s="330"/>
    </row>
    <row r="8" spans="1:5" ht="18.75" x14ac:dyDescent="0.3">
      <c r="A8" s="331" t="s">
        <v>90</v>
      </c>
      <c r="B8" s="331"/>
      <c r="C8" s="331"/>
      <c r="D8" s="331"/>
      <c r="E8" s="331"/>
    </row>
    <row r="9" spans="1:5" ht="18.75" x14ac:dyDescent="0.3">
      <c r="A9" s="103"/>
      <c r="B9" s="1"/>
      <c r="C9" s="1"/>
    </row>
    <row r="10" spans="1:5" ht="18.75" x14ac:dyDescent="0.3">
      <c r="A10" s="332" t="s">
        <v>91</v>
      </c>
      <c r="B10" s="332"/>
      <c r="C10" s="332"/>
      <c r="D10" s="332"/>
      <c r="E10" s="332"/>
    </row>
    <row r="11" spans="1:5" ht="15.75" x14ac:dyDescent="0.25">
      <c r="A11" s="260" t="s">
        <v>92</v>
      </c>
      <c r="B11" s="261"/>
      <c r="C11" s="262"/>
    </row>
    <row r="12" spans="1:5" ht="15.75" x14ac:dyDescent="0.25">
      <c r="A12" s="263" t="s">
        <v>93</v>
      </c>
      <c r="B12" s="214" t="s">
        <v>94</v>
      </c>
      <c r="C12" s="264">
        <v>2</v>
      </c>
    </row>
    <row r="13" spans="1:5" ht="15.75" x14ac:dyDescent="0.25">
      <c r="A13" s="263" t="s">
        <v>95</v>
      </c>
      <c r="B13" s="214" t="s">
        <v>94</v>
      </c>
      <c r="C13" s="264">
        <v>150</v>
      </c>
    </row>
    <row r="14" spans="1:5" ht="15.75" x14ac:dyDescent="0.25">
      <c r="A14" s="263" t="s">
        <v>96</v>
      </c>
      <c r="B14" s="214" t="s">
        <v>94</v>
      </c>
      <c r="C14" s="264">
        <v>100</v>
      </c>
    </row>
    <row r="15" spans="1:5" ht="15.75" x14ac:dyDescent="0.25">
      <c r="A15" s="263" t="s">
        <v>97</v>
      </c>
      <c r="B15" s="214" t="s">
        <v>46</v>
      </c>
      <c r="C15" s="265">
        <f>C14*C13*C12</f>
        <v>30000</v>
      </c>
    </row>
    <row r="16" spans="1:5" ht="15.75" x14ac:dyDescent="0.25">
      <c r="A16" s="263" t="s">
        <v>98</v>
      </c>
      <c r="B16" s="214" t="s">
        <v>32</v>
      </c>
      <c r="C16" s="266">
        <f>(C13*C14)/10000</f>
        <v>1.5</v>
      </c>
    </row>
    <row r="17" spans="1:7" ht="15.75" x14ac:dyDescent="0.25">
      <c r="A17" s="65"/>
      <c r="B17" s="1"/>
      <c r="C17" s="66"/>
    </row>
    <row r="18" spans="1:7" ht="15.75" x14ac:dyDescent="0.25">
      <c r="A18" s="267" t="s">
        <v>99</v>
      </c>
      <c r="B18" s="261"/>
      <c r="C18" s="268"/>
    </row>
    <row r="19" spans="1:7" ht="15.75" x14ac:dyDescent="0.25">
      <c r="A19" s="263" t="s">
        <v>100</v>
      </c>
      <c r="B19" s="214" t="s">
        <v>94</v>
      </c>
      <c r="C19" s="269">
        <v>2</v>
      </c>
    </row>
    <row r="20" spans="1:7" ht="15.75" x14ac:dyDescent="0.25">
      <c r="A20" s="270" t="s">
        <v>101</v>
      </c>
      <c r="B20" s="214" t="s">
        <v>94</v>
      </c>
      <c r="C20" s="269">
        <v>5</v>
      </c>
    </row>
    <row r="21" spans="1:7" ht="15.75" x14ac:dyDescent="0.25">
      <c r="A21" s="263" t="s">
        <v>102</v>
      </c>
      <c r="B21" s="214" t="s">
        <v>94</v>
      </c>
      <c r="C21" s="269">
        <v>22</v>
      </c>
    </row>
    <row r="22" spans="1:7" ht="15.75" x14ac:dyDescent="0.25">
      <c r="A22" s="263" t="s">
        <v>99</v>
      </c>
      <c r="B22" s="214" t="s">
        <v>46</v>
      </c>
      <c r="C22" s="268">
        <f>C21*C20*C19</f>
        <v>220</v>
      </c>
    </row>
    <row r="23" spans="1:7" ht="15.75" x14ac:dyDescent="0.25">
      <c r="A23" s="96"/>
      <c r="B23" s="1"/>
      <c r="C23" s="97"/>
    </row>
    <row r="24" spans="1:7" ht="15.75" x14ac:dyDescent="0.25">
      <c r="A24" s="271" t="s">
        <v>103</v>
      </c>
      <c r="B24" s="261"/>
      <c r="C24" s="272"/>
    </row>
    <row r="25" spans="1:7" ht="15.75" x14ac:dyDescent="0.25">
      <c r="A25" s="273" t="s">
        <v>97</v>
      </c>
      <c r="B25" s="214" t="s">
        <v>46</v>
      </c>
      <c r="C25" s="272">
        <f>C15</f>
        <v>30000</v>
      </c>
    </row>
    <row r="26" spans="1:7" ht="15.75" x14ac:dyDescent="0.25">
      <c r="A26" s="274" t="s">
        <v>104</v>
      </c>
      <c r="B26" s="214" t="s">
        <v>46</v>
      </c>
      <c r="C26" s="272">
        <f>C25*0.022</f>
        <v>660</v>
      </c>
    </row>
    <row r="27" spans="1:7" ht="15.75" x14ac:dyDescent="0.25">
      <c r="A27" s="274" t="s">
        <v>105</v>
      </c>
      <c r="B27" s="214" t="s">
        <v>24</v>
      </c>
      <c r="C27" s="272">
        <f>C26/C22</f>
        <v>3</v>
      </c>
    </row>
    <row r="28" spans="1:7" ht="21" x14ac:dyDescent="0.35">
      <c r="A28" s="98" t="s">
        <v>106</v>
      </c>
    </row>
    <row r="29" spans="1:7" ht="21" x14ac:dyDescent="0.35">
      <c r="A29" s="98" t="s">
        <v>107</v>
      </c>
    </row>
    <row r="30" spans="1:7" ht="21" x14ac:dyDescent="0.35">
      <c r="A30" s="98" t="s">
        <v>108</v>
      </c>
    </row>
    <row r="31" spans="1:7" ht="34.5" customHeight="1" x14ac:dyDescent="0.3">
      <c r="A31" s="334" t="s">
        <v>109</v>
      </c>
      <c r="B31" s="334"/>
      <c r="C31" s="334"/>
      <c r="D31" s="334"/>
      <c r="E31" s="334"/>
    </row>
    <row r="32" spans="1:7" ht="18.75" x14ac:dyDescent="0.3">
      <c r="A32" s="275" t="s">
        <v>110</v>
      </c>
      <c r="B32" s="276" t="s">
        <v>111</v>
      </c>
      <c r="C32" s="276" t="s">
        <v>112</v>
      </c>
      <c r="D32" s="276" t="s">
        <v>113</v>
      </c>
      <c r="E32" s="276" t="s">
        <v>114</v>
      </c>
      <c r="G32" s="84"/>
    </row>
    <row r="33" spans="1:6" ht="15.75" x14ac:dyDescent="0.25">
      <c r="A33" s="277" t="s">
        <v>115</v>
      </c>
      <c r="B33" s="278" t="s">
        <v>116</v>
      </c>
      <c r="C33" s="278" t="s">
        <v>116</v>
      </c>
      <c r="D33" s="278" t="s">
        <v>116</v>
      </c>
      <c r="E33" s="279"/>
    </row>
    <row r="34" spans="1:6" ht="15.75" x14ac:dyDescent="0.25">
      <c r="A34" s="277" t="s">
        <v>117</v>
      </c>
      <c r="B34" s="278" t="s">
        <v>118</v>
      </c>
      <c r="C34" s="278" t="s">
        <v>118</v>
      </c>
      <c r="D34" s="278" t="s">
        <v>118</v>
      </c>
      <c r="E34" s="279"/>
    </row>
    <row r="35" spans="1:6" ht="15.75" x14ac:dyDescent="0.25">
      <c r="A35" s="277" t="s">
        <v>119</v>
      </c>
      <c r="B35" s="280">
        <v>27</v>
      </c>
      <c r="C35" s="280">
        <v>27</v>
      </c>
      <c r="D35" s="280">
        <v>27</v>
      </c>
      <c r="E35" s="281"/>
    </row>
    <row r="36" spans="1:6" ht="15.75" x14ac:dyDescent="0.25">
      <c r="A36" s="277" t="s">
        <v>120</v>
      </c>
      <c r="B36" s="282">
        <f>(B46/(B45/1000))*$C$22</f>
        <v>33000</v>
      </c>
      <c r="C36" s="282">
        <f>(C46/(C45/1000))*$C$22</f>
        <v>33000</v>
      </c>
      <c r="D36" s="282">
        <f>(D46/(D45/1000))*$C$22</f>
        <v>33000</v>
      </c>
      <c r="E36" s="283">
        <f>SUM(B36:D36)</f>
        <v>99000</v>
      </c>
    </row>
    <row r="37" spans="1:6" ht="15.75" x14ac:dyDescent="0.25">
      <c r="A37" s="277" t="s">
        <v>121</v>
      </c>
      <c r="B37" s="284">
        <v>43831</v>
      </c>
      <c r="C37" s="284">
        <v>43891</v>
      </c>
      <c r="D37" s="284">
        <v>43952</v>
      </c>
      <c r="E37" s="283"/>
      <c r="F37" t="s">
        <v>122</v>
      </c>
    </row>
    <row r="38" spans="1:6" ht="15.75" x14ac:dyDescent="0.25">
      <c r="A38" s="277" t="s">
        <v>123</v>
      </c>
      <c r="B38" s="285">
        <v>90</v>
      </c>
      <c r="C38" s="285">
        <v>90</v>
      </c>
      <c r="D38" s="285">
        <v>90</v>
      </c>
      <c r="E38" s="283"/>
      <c r="F38" t="s">
        <v>124</v>
      </c>
    </row>
    <row r="39" spans="1:6" ht="15.75" x14ac:dyDescent="0.25">
      <c r="A39" s="277" t="s">
        <v>125</v>
      </c>
      <c r="B39" s="286">
        <f>B36/(B38/100)</f>
        <v>36666.666666666664</v>
      </c>
      <c r="C39" s="286">
        <f t="shared" ref="C39:D39" si="0">C36/(C38/100)</f>
        <v>36666.666666666664</v>
      </c>
      <c r="D39" s="286">
        <f t="shared" si="0"/>
        <v>36666.666666666664</v>
      </c>
      <c r="E39" s="283">
        <f t="shared" ref="E39:E53" si="1">SUM(B39:D39)</f>
        <v>110000</v>
      </c>
    </row>
    <row r="40" spans="1:6" ht="15.75" x14ac:dyDescent="0.25">
      <c r="A40" s="277" t="s">
        <v>126</v>
      </c>
      <c r="B40" s="286">
        <f>B39/$C$22</f>
        <v>166.66666666666666</v>
      </c>
      <c r="C40" s="286">
        <f t="shared" ref="C40:D40" si="2">C39/$C$22</f>
        <v>166.66666666666666</v>
      </c>
      <c r="D40" s="286">
        <f t="shared" si="2"/>
        <v>166.66666666666666</v>
      </c>
      <c r="E40" s="283"/>
    </row>
    <row r="41" spans="1:6" ht="15.75" x14ac:dyDescent="0.25">
      <c r="A41" s="277" t="s">
        <v>127</v>
      </c>
      <c r="B41" s="286">
        <f>(B39*B35)/1000</f>
        <v>989.99999999999989</v>
      </c>
      <c r="C41" s="286">
        <f t="shared" ref="C41" si="3">(C39*C35)/1000</f>
        <v>989.99999999999989</v>
      </c>
      <c r="D41" s="286">
        <f>(D39*D35)/1000</f>
        <v>989.99999999999989</v>
      </c>
      <c r="E41" s="283">
        <f t="shared" si="1"/>
        <v>2969.9999999999995</v>
      </c>
    </row>
    <row r="42" spans="1:6" ht="15.75" x14ac:dyDescent="0.25">
      <c r="A42" s="277" t="s">
        <v>128</v>
      </c>
      <c r="B42" s="280">
        <v>270</v>
      </c>
      <c r="C42" s="280">
        <v>270</v>
      </c>
      <c r="D42" s="280">
        <v>270</v>
      </c>
      <c r="E42" s="283"/>
    </row>
    <row r="43" spans="1:6" ht="15.75" x14ac:dyDescent="0.25">
      <c r="A43" s="277" t="s">
        <v>129</v>
      </c>
      <c r="B43" s="287">
        <f>B37+B42</f>
        <v>44101</v>
      </c>
      <c r="C43" s="287">
        <f t="shared" ref="C43:D43" si="4">C37+C42</f>
        <v>44161</v>
      </c>
      <c r="D43" s="287">
        <f t="shared" si="4"/>
        <v>44222</v>
      </c>
      <c r="E43" s="283"/>
    </row>
    <row r="44" spans="1:6" ht="15.75" x14ac:dyDescent="0.25">
      <c r="A44" s="277" t="s">
        <v>11</v>
      </c>
      <c r="B44" s="272">
        <f>1+((365-B42)/30/12)</f>
        <v>1.2638888888888888</v>
      </c>
      <c r="C44" s="272">
        <f t="shared" ref="C44:D44" si="5">1+((365-C42)/30/12)</f>
        <v>1.2638888888888888</v>
      </c>
      <c r="D44" s="272">
        <f t="shared" si="5"/>
        <v>1.2638888888888888</v>
      </c>
      <c r="E44" s="279"/>
      <c r="F44" s="64" t="s">
        <v>12</v>
      </c>
    </row>
    <row r="45" spans="1:6" ht="15.75" x14ac:dyDescent="0.25">
      <c r="A45" s="277" t="s">
        <v>130</v>
      </c>
      <c r="B45" s="288">
        <v>1000</v>
      </c>
      <c r="C45" s="288">
        <v>1000</v>
      </c>
      <c r="D45" s="288">
        <v>1000</v>
      </c>
      <c r="E45" s="283"/>
    </row>
    <row r="46" spans="1:6" ht="15.75" x14ac:dyDescent="0.25">
      <c r="A46" s="277" t="s">
        <v>131</v>
      </c>
      <c r="B46" s="288">
        <v>150</v>
      </c>
      <c r="C46" s="288">
        <v>150</v>
      </c>
      <c r="D46" s="288">
        <v>150</v>
      </c>
      <c r="E46" s="283"/>
    </row>
    <row r="47" spans="1:6" ht="15.75" x14ac:dyDescent="0.25">
      <c r="A47" s="277" t="s">
        <v>132</v>
      </c>
      <c r="B47" s="282">
        <f>B45-B35</f>
        <v>973</v>
      </c>
      <c r="C47" s="282">
        <f t="shared" ref="C47:D47" si="6">C45-C35</f>
        <v>973</v>
      </c>
      <c r="D47" s="282">
        <f t="shared" si="6"/>
        <v>973</v>
      </c>
      <c r="E47" s="283"/>
    </row>
    <row r="48" spans="1:6" ht="15.75" x14ac:dyDescent="0.25">
      <c r="A48" s="277" t="s">
        <v>133</v>
      </c>
      <c r="B48" s="289">
        <f>B47/B42</f>
        <v>3.6037037037037036</v>
      </c>
      <c r="C48" s="289">
        <f t="shared" ref="C48:D48" si="7">C47/C42</f>
        <v>3.6037037037037036</v>
      </c>
      <c r="D48" s="289">
        <f t="shared" si="7"/>
        <v>3.6037037037037036</v>
      </c>
      <c r="E48" s="283"/>
      <c r="F48" t="s">
        <v>134</v>
      </c>
    </row>
    <row r="49" spans="1:5" ht="15.75" x14ac:dyDescent="0.25">
      <c r="A49" s="277" t="s">
        <v>135</v>
      </c>
      <c r="B49" s="290">
        <v>1.5</v>
      </c>
      <c r="C49" s="290">
        <v>1.5</v>
      </c>
      <c r="D49" s="290">
        <v>1.5</v>
      </c>
      <c r="E49" s="283"/>
    </row>
    <row r="50" spans="1:5" ht="15.75" x14ac:dyDescent="0.25">
      <c r="A50" s="277" t="s">
        <v>136</v>
      </c>
      <c r="B50" s="286">
        <f>B46*$C$22*B49</f>
        <v>49500</v>
      </c>
      <c r="C50" s="286">
        <f t="shared" ref="C50:D50" si="8">C46*$C$22*C49</f>
        <v>49500</v>
      </c>
      <c r="D50" s="286">
        <f t="shared" si="8"/>
        <v>49500</v>
      </c>
      <c r="E50" s="283">
        <f t="shared" si="1"/>
        <v>148500</v>
      </c>
    </row>
    <row r="51" spans="1:5" ht="15.75" x14ac:dyDescent="0.25">
      <c r="A51" s="277" t="s">
        <v>137</v>
      </c>
      <c r="B51" s="291">
        <v>0.67</v>
      </c>
      <c r="C51" s="291">
        <v>0.67</v>
      </c>
      <c r="D51" s="291">
        <v>0.67</v>
      </c>
      <c r="E51" s="283"/>
    </row>
    <row r="52" spans="1:5" ht="15.75" x14ac:dyDescent="0.25">
      <c r="A52" s="277" t="s">
        <v>138</v>
      </c>
      <c r="B52" s="291">
        <v>0.33</v>
      </c>
      <c r="C52" s="291">
        <v>0.33</v>
      </c>
      <c r="D52" s="291">
        <v>0.33</v>
      </c>
      <c r="E52" s="283"/>
    </row>
    <row r="53" spans="1:5" ht="15.75" x14ac:dyDescent="0.25">
      <c r="A53" s="277" t="s">
        <v>139</v>
      </c>
      <c r="B53" s="286">
        <f>B46*$C$22</f>
        <v>33000</v>
      </c>
      <c r="C53" s="286">
        <f t="shared" ref="C53:D53" si="9">C46*$C$22</f>
        <v>33000</v>
      </c>
      <c r="D53" s="286">
        <f t="shared" si="9"/>
        <v>33000</v>
      </c>
      <c r="E53" s="283">
        <f t="shared" si="1"/>
        <v>99000</v>
      </c>
    </row>
    <row r="54" spans="1:5" ht="15.75" x14ac:dyDescent="0.25">
      <c r="A54" s="277" t="s">
        <v>140</v>
      </c>
      <c r="B54" s="292">
        <f>B53/$C$22</f>
        <v>150</v>
      </c>
      <c r="C54" s="292">
        <f t="shared" ref="C54:D54" si="10">C53/$C$22</f>
        <v>150</v>
      </c>
      <c r="D54" s="292">
        <f t="shared" si="10"/>
        <v>150</v>
      </c>
      <c r="E54" s="279"/>
    </row>
    <row r="55" spans="1:5" x14ac:dyDescent="0.25">
      <c r="B55" s="84"/>
      <c r="C55" s="84"/>
      <c r="D55" s="84"/>
      <c r="E55" s="84"/>
    </row>
    <row r="56" spans="1:5" ht="18.75" x14ac:dyDescent="0.3">
      <c r="A56" s="275" t="s">
        <v>141</v>
      </c>
      <c r="B56" s="276" t="s">
        <v>111</v>
      </c>
      <c r="C56" s="276" t="s">
        <v>112</v>
      </c>
      <c r="D56" s="276" t="s">
        <v>113</v>
      </c>
    </row>
    <row r="57" spans="1:5" ht="15.75" x14ac:dyDescent="0.25">
      <c r="A57" s="277" t="s">
        <v>142</v>
      </c>
      <c r="B57" s="296">
        <v>2.86</v>
      </c>
      <c r="C57" s="296">
        <v>2.86</v>
      </c>
      <c r="D57" s="296">
        <v>2.86</v>
      </c>
    </row>
    <row r="58" spans="1:5" ht="18.75" x14ac:dyDescent="0.3">
      <c r="A58" s="85"/>
      <c r="B58" s="85"/>
      <c r="C58" s="85"/>
      <c r="D58" s="85"/>
      <c r="E58" s="84"/>
    </row>
    <row r="59" spans="1:5" ht="15.75" x14ac:dyDescent="0.25">
      <c r="A59" s="293" t="s">
        <v>143</v>
      </c>
      <c r="B59" s="276" t="s">
        <v>111</v>
      </c>
      <c r="C59" s="276" t="s">
        <v>112</v>
      </c>
      <c r="D59" s="276" t="s">
        <v>113</v>
      </c>
    </row>
    <row r="60" spans="1:5" ht="15.75" x14ac:dyDescent="0.25">
      <c r="A60" s="294" t="s">
        <v>144</v>
      </c>
      <c r="B60" s="234">
        <v>550</v>
      </c>
      <c r="C60" s="234">
        <v>550</v>
      </c>
      <c r="D60" s="234">
        <v>550</v>
      </c>
    </row>
    <row r="61" spans="1:5" ht="15.75" x14ac:dyDescent="0.25">
      <c r="A61" s="294" t="s">
        <v>145</v>
      </c>
      <c r="B61" s="234">
        <v>720</v>
      </c>
      <c r="C61" s="234">
        <v>720</v>
      </c>
      <c r="D61" s="234">
        <v>720</v>
      </c>
      <c r="E61" t="s">
        <v>146</v>
      </c>
    </row>
    <row r="62" spans="1:5" ht="15.75" x14ac:dyDescent="0.25">
      <c r="A62" s="294" t="s">
        <v>147</v>
      </c>
      <c r="B62" s="229">
        <v>0.12</v>
      </c>
      <c r="C62" s="229">
        <v>0.12</v>
      </c>
      <c r="D62" s="229">
        <v>0.12</v>
      </c>
    </row>
    <row r="63" spans="1:5" ht="15.75" x14ac:dyDescent="0.25">
      <c r="A63" s="294" t="s">
        <v>148</v>
      </c>
      <c r="B63" s="295">
        <v>7.0000000000000007E-2</v>
      </c>
      <c r="C63" s="295">
        <v>7.0000000000000007E-2</v>
      </c>
      <c r="D63" s="295">
        <v>7.0000000000000007E-2</v>
      </c>
      <c r="E63" s="68" t="s">
        <v>149</v>
      </c>
    </row>
    <row r="64" spans="1:5" ht="15.75" x14ac:dyDescent="0.25">
      <c r="A64" s="294" t="s">
        <v>150</v>
      </c>
      <c r="B64" s="234">
        <v>125</v>
      </c>
      <c r="C64" s="234">
        <v>125</v>
      </c>
      <c r="D64" s="234">
        <v>125</v>
      </c>
      <c r="E64" s="68" t="s">
        <v>151</v>
      </c>
    </row>
    <row r="65" spans="1:13" ht="15.75" x14ac:dyDescent="0.25">
      <c r="A65" s="294" t="s">
        <v>152</v>
      </c>
      <c r="B65" s="234">
        <v>0</v>
      </c>
      <c r="C65" s="234">
        <v>0</v>
      </c>
      <c r="D65" s="234">
        <v>0</v>
      </c>
      <c r="E65" s="68" t="s">
        <v>153</v>
      </c>
    </row>
    <row r="66" spans="1:13" ht="15.75" x14ac:dyDescent="0.25">
      <c r="A66" s="110"/>
      <c r="B66" s="111"/>
      <c r="C66" s="111"/>
      <c r="D66" s="111"/>
    </row>
    <row r="67" spans="1:13" ht="15.75" x14ac:dyDescent="0.25">
      <c r="A67" s="297" t="s">
        <v>154</v>
      </c>
      <c r="B67" s="276" t="s">
        <v>111</v>
      </c>
      <c r="C67" s="276" t="s">
        <v>112</v>
      </c>
      <c r="D67" s="276" t="s">
        <v>113</v>
      </c>
      <c r="E67" s="276" t="s">
        <v>155</v>
      </c>
    </row>
    <row r="68" spans="1:13" ht="15.75" x14ac:dyDescent="0.25">
      <c r="A68" s="294" t="s">
        <v>156</v>
      </c>
      <c r="B68" s="300">
        <f>B53*B57</f>
        <v>94380</v>
      </c>
      <c r="C68" s="300">
        <f>C53*C57</f>
        <v>94380</v>
      </c>
      <c r="D68" s="300">
        <f>D53*D57</f>
        <v>94380</v>
      </c>
      <c r="E68" s="121">
        <f>SUM(B68:D68)</f>
        <v>283140</v>
      </c>
    </row>
    <row r="70" spans="1:13" ht="15.75" x14ac:dyDescent="0.25">
      <c r="A70" s="297" t="s">
        <v>157</v>
      </c>
      <c r="B70" s="276" t="s">
        <v>111</v>
      </c>
      <c r="C70" s="276" t="s">
        <v>112</v>
      </c>
      <c r="D70" s="276" t="s">
        <v>113</v>
      </c>
      <c r="E70" s="276" t="s">
        <v>155</v>
      </c>
      <c r="F70" s="276" t="s">
        <v>158</v>
      </c>
    </row>
    <row r="71" spans="1:13" ht="15.75" x14ac:dyDescent="0.25">
      <c r="A71" s="294" t="s">
        <v>159</v>
      </c>
      <c r="B71" s="124">
        <f>B60*($B$50/1000)*B51</f>
        <v>18240.75</v>
      </c>
      <c r="C71" s="124">
        <f>C60*($C$50/1000)*C51</f>
        <v>18240.75</v>
      </c>
      <c r="D71" s="124">
        <f>D60*($C$50/1000)*D51</f>
        <v>18240.75</v>
      </c>
      <c r="E71" s="124">
        <f>SUM(B71:D71)</f>
        <v>54722.25</v>
      </c>
      <c r="F71" s="125">
        <f t="shared" ref="F71:F85" si="11">E71/$E$86</f>
        <v>0.3889054913940786</v>
      </c>
    </row>
    <row r="72" spans="1:13" ht="15.75" x14ac:dyDescent="0.25">
      <c r="A72" s="294" t="s">
        <v>160</v>
      </c>
      <c r="B72" s="124">
        <f>B61*($B$50/1000)*B52</f>
        <v>11761.2</v>
      </c>
      <c r="C72" s="124">
        <f>C61*($C$50/1000)*C52</f>
        <v>11761.2</v>
      </c>
      <c r="D72" s="124">
        <f>D61*($C$50/1000)*D52</f>
        <v>11761.2</v>
      </c>
      <c r="E72" s="124">
        <f>SUM(B72:D72)</f>
        <v>35283.600000000006</v>
      </c>
      <c r="F72" s="125">
        <f t="shared" si="11"/>
        <v>0.25075697355558502</v>
      </c>
    </row>
    <row r="73" spans="1:13" ht="15.75" x14ac:dyDescent="0.25">
      <c r="A73" s="294" t="s">
        <v>161</v>
      </c>
      <c r="B73" s="124">
        <f>B62*B39</f>
        <v>4400</v>
      </c>
      <c r="C73" s="124">
        <f>C62*C39</f>
        <v>4400</v>
      </c>
      <c r="D73" s="124">
        <f>D62*D39</f>
        <v>4400</v>
      </c>
      <c r="E73" s="124">
        <f t="shared" ref="E73:E76" si="12">SUM(B73:D73)</f>
        <v>13200</v>
      </c>
      <c r="F73" s="125">
        <f t="shared" si="11"/>
        <v>9.3811063806803222E-2</v>
      </c>
    </row>
    <row r="74" spans="1:13" ht="15.75" x14ac:dyDescent="0.25">
      <c r="A74" s="294" t="s">
        <v>162</v>
      </c>
      <c r="B74" s="126">
        <f>9346/$C$27</f>
        <v>3115.3333333333335</v>
      </c>
      <c r="C74" s="126">
        <f t="shared" ref="C74:D74" si="13">9346/$C$27</f>
        <v>3115.3333333333335</v>
      </c>
      <c r="D74" s="126">
        <f t="shared" si="13"/>
        <v>3115.3333333333335</v>
      </c>
      <c r="E74" s="121">
        <f t="shared" si="12"/>
        <v>9346</v>
      </c>
      <c r="F74" s="125">
        <f t="shared" si="11"/>
        <v>6.6421075934725973E-2</v>
      </c>
      <c r="G74" s="40"/>
      <c r="H74" s="40"/>
      <c r="I74" s="40"/>
      <c r="J74" s="40"/>
      <c r="K74" s="114"/>
      <c r="L74" s="114"/>
      <c r="M74" s="114"/>
    </row>
    <row r="75" spans="1:13" ht="15.75" x14ac:dyDescent="0.25">
      <c r="A75" s="277" t="s">
        <v>163</v>
      </c>
      <c r="B75" s="126">
        <f>8100/$C$27</f>
        <v>2700</v>
      </c>
      <c r="C75" s="126">
        <f t="shared" ref="C75:D75" si="14">8100/$C$27</f>
        <v>2700</v>
      </c>
      <c r="D75" s="126">
        <f t="shared" si="14"/>
        <v>2700</v>
      </c>
      <c r="E75" s="121">
        <f t="shared" si="12"/>
        <v>8100</v>
      </c>
      <c r="F75" s="125">
        <f t="shared" si="11"/>
        <v>5.7565880063265608E-2</v>
      </c>
      <c r="G75" s="40"/>
      <c r="H75" s="40"/>
      <c r="I75" s="40"/>
      <c r="J75" s="40"/>
      <c r="K75" s="114"/>
      <c r="L75" s="114"/>
      <c r="M75" s="114"/>
    </row>
    <row r="76" spans="1:13" ht="16.5" customHeight="1" x14ac:dyDescent="0.25">
      <c r="A76" s="298" t="s">
        <v>164</v>
      </c>
      <c r="B76" s="128">
        <f>(316+288)/$C$27</f>
        <v>201.33333333333334</v>
      </c>
      <c r="C76" s="128">
        <f t="shared" ref="C76:D76" si="15">(316+288)/$C$27</f>
        <v>201.33333333333334</v>
      </c>
      <c r="D76" s="128">
        <f t="shared" si="15"/>
        <v>201.33333333333334</v>
      </c>
      <c r="E76" s="129">
        <f t="shared" si="12"/>
        <v>604</v>
      </c>
      <c r="F76" s="130">
        <f t="shared" si="11"/>
        <v>4.2925668590385714E-3</v>
      </c>
      <c r="G76" s="122"/>
      <c r="H76" s="81"/>
      <c r="I76" s="81"/>
      <c r="J76" s="118" t="s">
        <v>165</v>
      </c>
      <c r="K76" s="119" t="s">
        <v>166</v>
      </c>
      <c r="L76" s="120" t="s">
        <v>167</v>
      </c>
    </row>
    <row r="77" spans="1:13" ht="15.75" x14ac:dyDescent="0.25">
      <c r="A77" s="294" t="s">
        <v>168</v>
      </c>
      <c r="B77" s="124">
        <f>(B42/30)*2*B64</f>
        <v>2250</v>
      </c>
      <c r="C77" s="124">
        <f>(C42/30)*2*C64</f>
        <v>2250</v>
      </c>
      <c r="D77" s="124">
        <f>(D42/30)*2*D64</f>
        <v>2250</v>
      </c>
      <c r="E77" s="121">
        <f>SUM(B77:D77)</f>
        <v>6750</v>
      </c>
      <c r="F77" s="125">
        <f t="shared" si="11"/>
        <v>4.7971566719388008E-2</v>
      </c>
      <c r="G77" s="123" t="s">
        <v>169</v>
      </c>
      <c r="H77" s="115" t="s">
        <v>170</v>
      </c>
      <c r="I77" s="116" t="s">
        <v>171</v>
      </c>
      <c r="J77" s="131">
        <f>(B42/30)*2</f>
        <v>18</v>
      </c>
      <c r="K77" s="132">
        <f>B64</f>
        <v>125</v>
      </c>
      <c r="L77" s="133">
        <f>K77*J77</f>
        <v>2250</v>
      </c>
    </row>
    <row r="78" spans="1:13" ht="15.75" x14ac:dyDescent="0.25">
      <c r="A78" s="294" t="s">
        <v>172</v>
      </c>
      <c r="B78" s="124">
        <f>(B42/30)*0.5*B64</f>
        <v>562.5</v>
      </c>
      <c r="C78" s="124">
        <f>(C42/30)*0.5*C64</f>
        <v>562.5</v>
      </c>
      <c r="D78" s="124">
        <f>(D42/30)*0.5*D64</f>
        <v>562.5</v>
      </c>
      <c r="E78" s="121">
        <f>SUM(B78:D78)</f>
        <v>1687.5</v>
      </c>
      <c r="F78" s="125">
        <f t="shared" si="11"/>
        <v>1.1992891679847002E-2</v>
      </c>
      <c r="G78" s="123" t="s">
        <v>169</v>
      </c>
      <c r="H78" s="115" t="s">
        <v>170</v>
      </c>
      <c r="I78" s="116" t="s">
        <v>171</v>
      </c>
      <c r="J78" s="131">
        <f>(B42/30)*0.5</f>
        <v>4.5</v>
      </c>
      <c r="K78" s="132">
        <f>B64</f>
        <v>125</v>
      </c>
      <c r="L78" s="133">
        <f>K78*J78</f>
        <v>562.5</v>
      </c>
    </row>
    <row r="79" spans="1:13" ht="15.75" x14ac:dyDescent="0.25">
      <c r="A79" s="294" t="s">
        <v>173</v>
      </c>
      <c r="B79" s="127">
        <f>250/$C$27</f>
        <v>83.333333333333329</v>
      </c>
      <c r="C79" s="127">
        <f t="shared" ref="C79:D79" si="16">250/$C$27</f>
        <v>83.333333333333329</v>
      </c>
      <c r="D79" s="127">
        <f t="shared" si="16"/>
        <v>83.333333333333329</v>
      </c>
      <c r="E79" s="121">
        <f>SUM(B79:D79)</f>
        <v>250</v>
      </c>
      <c r="F79" s="125">
        <f t="shared" si="11"/>
        <v>1.776724693310667E-3</v>
      </c>
      <c r="G79" s="40"/>
      <c r="H79" s="1"/>
      <c r="I79" s="117"/>
      <c r="J79" s="112"/>
      <c r="L79" s="113"/>
    </row>
    <row r="80" spans="1:13" ht="15.75" x14ac:dyDescent="0.25">
      <c r="A80" s="294" t="s">
        <v>174</v>
      </c>
      <c r="B80" s="127">
        <v>650</v>
      </c>
      <c r="C80" s="127">
        <v>650</v>
      </c>
      <c r="D80" s="127">
        <v>650</v>
      </c>
      <c r="E80" s="121">
        <f t="shared" ref="E80:E81" si="17">SUM(B80:D80)</f>
        <v>1950</v>
      </c>
      <c r="F80" s="125">
        <f t="shared" si="11"/>
        <v>1.3858452607823202E-2</v>
      </c>
      <c r="G80" s="40"/>
    </row>
    <row r="81" spans="1:7" ht="15.75" x14ac:dyDescent="0.25">
      <c r="A81" s="294" t="s">
        <v>175</v>
      </c>
      <c r="B81" s="124">
        <f>B65*$C$16/$C$27</f>
        <v>0</v>
      </c>
      <c r="C81" s="124">
        <f t="shared" ref="C81:D81" si="18">C65*$C$16/$C$27</f>
        <v>0</v>
      </c>
      <c r="D81" s="124">
        <f t="shared" si="18"/>
        <v>0</v>
      </c>
      <c r="E81" s="121">
        <f t="shared" si="17"/>
        <v>0</v>
      </c>
      <c r="F81" s="125">
        <f t="shared" si="11"/>
        <v>0</v>
      </c>
      <c r="G81" s="68" t="s">
        <v>176</v>
      </c>
    </row>
    <row r="82" spans="1:7" ht="15.75" x14ac:dyDescent="0.25">
      <c r="A82" s="299" t="s">
        <v>177</v>
      </c>
      <c r="B82" s="127">
        <f>135/$C$27</f>
        <v>45</v>
      </c>
      <c r="C82" s="127">
        <f t="shared" ref="C82:D82" si="19">135/$C$27</f>
        <v>45</v>
      </c>
      <c r="D82" s="127">
        <f t="shared" si="19"/>
        <v>45</v>
      </c>
      <c r="E82" s="121">
        <f t="shared" ref="E82" si="20">SUM(B82:D82)</f>
        <v>135</v>
      </c>
      <c r="F82" s="125">
        <f t="shared" si="11"/>
        <v>9.5943133438776017E-4</v>
      </c>
    </row>
    <row r="83" spans="1:7" ht="15.75" x14ac:dyDescent="0.25">
      <c r="A83" s="299" t="s">
        <v>178</v>
      </c>
      <c r="B83" s="127">
        <f>B63*B53</f>
        <v>2310</v>
      </c>
      <c r="C83" s="127">
        <f t="shared" ref="C83:D83" si="21">C63*C53</f>
        <v>2310</v>
      </c>
      <c r="D83" s="127">
        <f t="shared" si="21"/>
        <v>2310</v>
      </c>
      <c r="E83" s="121">
        <f t="shared" ref="E83" si="22">SUM(B83:D83)</f>
        <v>6930</v>
      </c>
      <c r="F83" s="125">
        <f t="shared" si="11"/>
        <v>4.9250808498571691E-2</v>
      </c>
    </row>
    <row r="84" spans="1:7" ht="15.75" x14ac:dyDescent="0.25">
      <c r="A84" s="299" t="s">
        <v>179</v>
      </c>
      <c r="B84" s="127">
        <f>1350/$C$27</f>
        <v>450</v>
      </c>
      <c r="C84" s="127">
        <f t="shared" ref="C84:D84" si="23">1350/$C$27</f>
        <v>450</v>
      </c>
      <c r="D84" s="127">
        <f t="shared" si="23"/>
        <v>450</v>
      </c>
      <c r="E84" s="121">
        <f t="shared" ref="E84" si="24">SUM(B84:D84)</f>
        <v>1350</v>
      </c>
      <c r="F84" s="125">
        <f t="shared" si="11"/>
        <v>9.5943133438776019E-3</v>
      </c>
    </row>
    <row r="85" spans="1:7" ht="15.75" x14ac:dyDescent="0.25">
      <c r="A85" s="299" t="s">
        <v>180</v>
      </c>
      <c r="B85" s="127">
        <f>400/$C$27</f>
        <v>133.33333333333334</v>
      </c>
      <c r="C85" s="127">
        <f t="shared" ref="C85:D85" si="25">400/$C$27</f>
        <v>133.33333333333334</v>
      </c>
      <c r="D85" s="127">
        <f t="shared" si="25"/>
        <v>133.33333333333334</v>
      </c>
      <c r="E85" s="121">
        <f t="shared" ref="E85" si="26">SUM(B85:D85)</f>
        <v>400</v>
      </c>
      <c r="F85" s="125">
        <f t="shared" si="11"/>
        <v>2.842759509297067E-3</v>
      </c>
      <c r="G85" s="40" t="s">
        <v>181</v>
      </c>
    </row>
    <row r="86" spans="1:7" ht="15.75" x14ac:dyDescent="0.25">
      <c r="A86" s="297" t="s">
        <v>182</v>
      </c>
      <c r="B86" s="121">
        <f>SUM(B71:B85)</f>
        <v>46902.78333333334</v>
      </c>
      <c r="C86" s="121">
        <f>SUM(C71:C85)</f>
        <v>46902.78333333334</v>
      </c>
      <c r="D86" s="121">
        <f>SUM(D71:D85)</f>
        <v>46902.78333333334</v>
      </c>
      <c r="E86" s="121">
        <f>SUM(E71:E85)</f>
        <v>140708.35</v>
      </c>
      <c r="F86" s="125">
        <f>SUM(F71:F85)</f>
        <v>0.99999999999999989</v>
      </c>
    </row>
  </sheetData>
  <sheetProtection sheet="1" objects="1" scenarios="1"/>
  <mergeCells count="7">
    <mergeCell ref="A1:E1"/>
    <mergeCell ref="A4:E4"/>
    <mergeCell ref="A31:E31"/>
    <mergeCell ref="A10:E10"/>
    <mergeCell ref="A7:E7"/>
    <mergeCell ref="A8:E8"/>
    <mergeCell ref="A6:E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zoomScaleNormal="100" workbookViewId="0">
      <selection activeCell="C16" sqref="C16"/>
    </sheetView>
  </sheetViews>
  <sheetFormatPr defaultRowHeight="15" x14ac:dyDescent="0.25"/>
  <cols>
    <col min="1" max="1" width="44" customWidth="1"/>
    <col min="2" max="2" width="16.42578125" customWidth="1"/>
    <col min="3" max="4" width="13.5703125" customWidth="1"/>
    <col min="5" max="5" width="14.5703125" customWidth="1"/>
    <col min="6" max="6" width="2.140625" customWidth="1"/>
    <col min="7" max="7" width="16.7109375" customWidth="1"/>
    <col min="8" max="8" width="18" customWidth="1"/>
    <col min="9" max="9" width="18.28515625" customWidth="1"/>
    <col min="10" max="10" width="15.140625" customWidth="1"/>
    <col min="11" max="11" width="18" customWidth="1"/>
    <col min="17" max="17" width="26.7109375" customWidth="1"/>
  </cols>
  <sheetData>
    <row r="1" spans="1:17" ht="23.25" x14ac:dyDescent="0.35">
      <c r="A1" s="74" t="s">
        <v>183</v>
      </c>
    </row>
    <row r="2" spans="1:17" ht="30.75" customHeight="1" x14ac:dyDescent="0.3">
      <c r="A2" s="85" t="s">
        <v>184</v>
      </c>
    </row>
    <row r="3" spans="1:17" ht="18.75" x14ac:dyDescent="0.3">
      <c r="A3" s="86" t="s">
        <v>185</v>
      </c>
      <c r="B3" s="87"/>
      <c r="C3" s="87"/>
      <c r="D3" s="87"/>
      <c r="E3" s="87"/>
      <c r="F3" s="87"/>
      <c r="G3" s="87"/>
      <c r="H3" s="87"/>
      <c r="I3" s="87"/>
      <c r="J3" s="87"/>
      <c r="K3" s="87"/>
      <c r="L3" s="87"/>
      <c r="M3" s="87"/>
      <c r="N3" s="87"/>
      <c r="O3" s="87"/>
      <c r="P3" s="87"/>
      <c r="Q3" s="87"/>
    </row>
    <row r="4" spans="1:17" ht="18.75" x14ac:dyDescent="0.3">
      <c r="A4" s="86"/>
    </row>
    <row r="5" spans="1:17" ht="40.5" customHeight="1" x14ac:dyDescent="0.25">
      <c r="A5" s="335" t="s">
        <v>186</v>
      </c>
      <c r="B5" s="335"/>
      <c r="C5" s="335"/>
      <c r="D5" s="335"/>
      <c r="E5" s="335"/>
      <c r="G5" s="338" t="s">
        <v>187</v>
      </c>
      <c r="H5" s="339"/>
      <c r="I5" s="339"/>
      <c r="J5" s="339"/>
      <c r="K5" s="339"/>
      <c r="L5" s="339"/>
      <c r="M5" s="339"/>
      <c r="N5" s="339"/>
      <c r="O5" s="339"/>
      <c r="P5" s="339"/>
      <c r="Q5" s="340"/>
    </row>
    <row r="6" spans="1:17" ht="20.25" customHeight="1" x14ac:dyDescent="0.3">
      <c r="A6" s="85"/>
      <c r="G6" s="85"/>
    </row>
    <row r="7" spans="1:17" ht="39" customHeight="1" x14ac:dyDescent="0.25">
      <c r="A7" s="197" t="s">
        <v>188</v>
      </c>
      <c r="B7" s="194" t="s">
        <v>111</v>
      </c>
      <c r="C7" s="141" t="s">
        <v>112</v>
      </c>
      <c r="D7" s="141" t="s">
        <v>113</v>
      </c>
      <c r="E7" s="141" t="s">
        <v>155</v>
      </c>
      <c r="F7" s="94"/>
      <c r="G7" s="188" t="s">
        <v>111</v>
      </c>
      <c r="H7" s="188" t="s">
        <v>112</v>
      </c>
      <c r="I7" s="188" t="s">
        <v>113</v>
      </c>
      <c r="J7" s="189" t="s">
        <v>155</v>
      </c>
      <c r="K7" s="190"/>
      <c r="L7" s="190"/>
      <c r="M7" s="190"/>
      <c r="N7" s="190"/>
      <c r="O7" s="190"/>
      <c r="P7" s="190"/>
      <c r="Q7" s="191"/>
    </row>
    <row r="8" spans="1:17" ht="15.75" x14ac:dyDescent="0.25">
      <c r="A8" s="171" t="s">
        <v>189</v>
      </c>
      <c r="B8" s="194" t="str">
        <f>'2) Area Prod Econ Info'!B33</f>
        <v>Catfish</v>
      </c>
      <c r="C8" s="141" t="str">
        <f>'2) Area Prod Econ Info'!C33</f>
        <v>Catfish</v>
      </c>
      <c r="D8" s="141" t="str">
        <f>'2) Area Prod Econ Info'!D33</f>
        <v>Catfish</v>
      </c>
      <c r="E8" s="172"/>
      <c r="F8" s="94"/>
      <c r="G8" s="134" t="s">
        <v>190</v>
      </c>
      <c r="H8" s="134" t="s">
        <v>190</v>
      </c>
      <c r="I8" s="134" t="s">
        <v>190</v>
      </c>
      <c r="J8" s="94"/>
      <c r="K8" s="135"/>
      <c r="L8" s="135"/>
      <c r="M8" s="135"/>
      <c r="N8" s="135"/>
      <c r="O8" s="135"/>
      <c r="P8" s="135"/>
      <c r="Q8" s="136"/>
    </row>
    <row r="9" spans="1:17" ht="15.75" x14ac:dyDescent="0.25">
      <c r="A9" s="196" t="s">
        <v>191</v>
      </c>
      <c r="B9" s="195">
        <f>'2) Area Prod Econ Info'!B41</f>
        <v>989.99999999999989</v>
      </c>
      <c r="C9" s="145">
        <f>'2) Area Prod Econ Info'!C41</f>
        <v>989.99999999999989</v>
      </c>
      <c r="D9" s="145">
        <f>'2) Area Prod Econ Info'!D41</f>
        <v>989.99999999999989</v>
      </c>
      <c r="E9" s="173">
        <f>SUM(B9:D9)</f>
        <v>2969.9999999999995</v>
      </c>
      <c r="F9" s="94"/>
      <c r="G9" s="193">
        <f>B9</f>
        <v>989.99999999999989</v>
      </c>
      <c r="H9" s="193">
        <f t="shared" ref="H9:I10" si="0">C9</f>
        <v>989.99999999999989</v>
      </c>
      <c r="I9" s="193">
        <f t="shared" si="0"/>
        <v>989.99999999999989</v>
      </c>
      <c r="J9" s="193">
        <f>SUM(G9:I9)</f>
        <v>2969.9999999999995</v>
      </c>
      <c r="K9" s="95" t="s">
        <v>192</v>
      </c>
      <c r="L9" s="135"/>
      <c r="M9" s="135"/>
      <c r="N9" s="135"/>
      <c r="O9" s="135"/>
      <c r="P9" s="135"/>
      <c r="Q9" s="136"/>
    </row>
    <row r="10" spans="1:17" ht="15.75" x14ac:dyDescent="0.25">
      <c r="A10" s="196" t="s">
        <v>193</v>
      </c>
      <c r="B10" s="195">
        <f>'2) Area Prod Econ Info'!B53</f>
        <v>33000</v>
      </c>
      <c r="C10" s="145">
        <f>'2) Area Prod Econ Info'!C53</f>
        <v>33000</v>
      </c>
      <c r="D10" s="145">
        <f>'2) Area Prod Econ Info'!D53</f>
        <v>33000</v>
      </c>
      <c r="E10" s="173">
        <f t="shared" ref="E10" si="1">SUM(B10:D10)</f>
        <v>99000</v>
      </c>
      <c r="F10" s="94"/>
      <c r="G10" s="193">
        <f>B10</f>
        <v>33000</v>
      </c>
      <c r="H10" s="193">
        <f t="shared" si="0"/>
        <v>33000</v>
      </c>
      <c r="I10" s="193">
        <f t="shared" si="0"/>
        <v>33000</v>
      </c>
      <c r="J10" s="193">
        <f>SUM(G10:I10)</f>
        <v>99000</v>
      </c>
      <c r="K10" s="95" t="s">
        <v>194</v>
      </c>
      <c r="L10" s="135"/>
      <c r="M10" s="135"/>
      <c r="N10" s="135"/>
      <c r="O10" s="135"/>
      <c r="P10" s="135"/>
      <c r="Q10" s="136"/>
    </row>
    <row r="11" spans="1:17" ht="15.75" x14ac:dyDescent="0.25">
      <c r="A11" s="196" t="s">
        <v>195</v>
      </c>
      <c r="B11" s="174"/>
      <c r="C11" s="174"/>
      <c r="D11" s="174"/>
      <c r="E11" s="173">
        <f>'1) Investment &amp; Depreciation'!E57</f>
        <v>102489.25</v>
      </c>
      <c r="F11" s="94"/>
      <c r="G11" s="114"/>
      <c r="H11" s="114"/>
      <c r="I11" s="114"/>
      <c r="J11" s="193">
        <f>E11</f>
        <v>102489.25</v>
      </c>
      <c r="K11" s="95" t="s">
        <v>196</v>
      </c>
      <c r="L11" s="135"/>
      <c r="M11" s="135"/>
      <c r="N11" s="135"/>
      <c r="O11" s="135"/>
      <c r="P11" s="135"/>
      <c r="Q11" s="136"/>
    </row>
    <row r="12" spans="1:17" ht="15.75" x14ac:dyDescent="0.25">
      <c r="A12" s="146"/>
      <c r="B12" s="147"/>
      <c r="C12" s="147"/>
      <c r="D12" s="147"/>
      <c r="E12" s="147"/>
      <c r="F12" s="137"/>
      <c r="G12" s="137"/>
      <c r="H12" s="137"/>
      <c r="I12" s="137"/>
      <c r="J12" s="137"/>
      <c r="K12" s="95"/>
      <c r="L12" s="135"/>
      <c r="M12" s="135"/>
      <c r="N12" s="135"/>
      <c r="O12" s="135"/>
      <c r="P12" s="135"/>
      <c r="Q12" s="136"/>
    </row>
    <row r="13" spans="1:17" ht="15.75" x14ac:dyDescent="0.25">
      <c r="A13" s="144"/>
      <c r="B13" s="148" t="s">
        <v>111</v>
      </c>
      <c r="C13" s="148" t="s">
        <v>112</v>
      </c>
      <c r="D13" s="148" t="s">
        <v>113</v>
      </c>
      <c r="E13" s="149" t="s">
        <v>155</v>
      </c>
      <c r="F13" s="94"/>
      <c r="G13" s="138" t="s">
        <v>111</v>
      </c>
      <c r="H13" s="138" t="s">
        <v>112</v>
      </c>
      <c r="I13" s="138" t="s">
        <v>113</v>
      </c>
      <c r="J13" s="138" t="s">
        <v>155</v>
      </c>
      <c r="K13" s="95"/>
      <c r="L13" s="135"/>
      <c r="M13" s="135"/>
      <c r="N13" s="135"/>
      <c r="O13" s="135"/>
      <c r="P13" s="135"/>
      <c r="Q13" s="136"/>
    </row>
    <row r="14" spans="1:17" ht="15.75" x14ac:dyDescent="0.25">
      <c r="A14" s="150" t="s">
        <v>154</v>
      </c>
      <c r="B14" s="142"/>
      <c r="C14" s="142"/>
      <c r="D14" s="142"/>
      <c r="E14" s="142"/>
      <c r="F14" s="94"/>
      <c r="G14" s="139"/>
      <c r="H14" s="94"/>
      <c r="I14" s="94"/>
      <c r="J14" s="94"/>
      <c r="K14" s="336" t="s">
        <v>197</v>
      </c>
      <c r="L14" s="336"/>
      <c r="M14" s="336"/>
      <c r="N14" s="336"/>
      <c r="O14" s="336"/>
      <c r="P14" s="336"/>
      <c r="Q14" s="337"/>
    </row>
    <row r="15" spans="1:17" ht="15.75" x14ac:dyDescent="0.25">
      <c r="A15" s="175" t="s">
        <v>156</v>
      </c>
      <c r="B15" s="176">
        <f>'2) Area Prod Econ Info'!B68</f>
        <v>94380</v>
      </c>
      <c r="C15" s="176">
        <f>'2) Area Prod Econ Info'!C68</f>
        <v>94380</v>
      </c>
      <c r="D15" s="176">
        <f>'2) Area Prod Econ Info'!D68</f>
        <v>94380</v>
      </c>
      <c r="E15" s="177">
        <f>SUM(B15:D15)</f>
        <v>283140</v>
      </c>
      <c r="F15" s="94"/>
      <c r="G15" s="90">
        <v>53196</v>
      </c>
      <c r="H15" s="90">
        <v>53196</v>
      </c>
      <c r="I15" s="90">
        <v>53196</v>
      </c>
      <c r="J15" s="192">
        <f>SUM(G15:I15)</f>
        <v>159588</v>
      </c>
      <c r="K15" s="341"/>
      <c r="L15" s="342"/>
      <c r="M15" s="342"/>
      <c r="N15" s="342"/>
      <c r="O15" s="342"/>
      <c r="P15" s="342"/>
      <c r="Q15" s="343"/>
    </row>
    <row r="16" spans="1:17" ht="15.75" x14ac:dyDescent="0.25">
      <c r="A16" s="142"/>
      <c r="B16" s="142"/>
      <c r="C16" s="142"/>
      <c r="D16" s="142"/>
      <c r="E16" s="142"/>
      <c r="F16" s="94"/>
      <c r="G16" s="94"/>
      <c r="H16" s="94"/>
      <c r="I16" s="94"/>
      <c r="J16" s="94"/>
      <c r="K16" s="342"/>
      <c r="L16" s="342"/>
      <c r="M16" s="342"/>
      <c r="N16" s="342"/>
      <c r="O16" s="342"/>
      <c r="P16" s="342"/>
      <c r="Q16" s="343"/>
    </row>
    <row r="17" spans="1:17" ht="15.75" x14ac:dyDescent="0.25">
      <c r="A17" s="151" t="s">
        <v>157</v>
      </c>
      <c r="B17" s="152"/>
      <c r="C17" s="152"/>
      <c r="D17" s="152"/>
      <c r="E17" s="152"/>
      <c r="F17" s="94"/>
      <c r="G17" s="88"/>
      <c r="H17" s="94"/>
      <c r="I17" s="94"/>
      <c r="J17" s="94"/>
      <c r="K17" s="342"/>
      <c r="L17" s="342"/>
      <c r="M17" s="342"/>
      <c r="N17" s="342"/>
      <c r="O17" s="342"/>
      <c r="P17" s="342"/>
      <c r="Q17" s="343"/>
    </row>
    <row r="18" spans="1:17" ht="15.75" x14ac:dyDescent="0.25">
      <c r="A18" s="175" t="str">
        <f>'2) Area Prod Econ Info'!A71</f>
        <v>Feed #1</v>
      </c>
      <c r="B18" s="178">
        <f>'2) Area Prod Econ Info'!B71</f>
        <v>18240.75</v>
      </c>
      <c r="C18" s="178">
        <f>'2) Area Prod Econ Info'!C71</f>
        <v>18240.75</v>
      </c>
      <c r="D18" s="178">
        <f>'2) Area Prod Econ Info'!D71</f>
        <v>18240.75</v>
      </c>
      <c r="E18" s="178">
        <f t="shared" ref="E18:E22" si="2">SUM(B18:D18)</f>
        <v>54722.25</v>
      </c>
      <c r="F18" s="94"/>
      <c r="G18" s="91">
        <f t="shared" ref="G18:G30" si="3">B18</f>
        <v>18240.75</v>
      </c>
      <c r="H18" s="91">
        <f t="shared" ref="H18:H30" si="4">C18</f>
        <v>18240.75</v>
      </c>
      <c r="I18" s="91">
        <f t="shared" ref="I18:I30" si="5">D18</f>
        <v>18240.75</v>
      </c>
      <c r="J18" s="192">
        <f t="shared" ref="J18:J31" si="6">SUM(G18:I18)</f>
        <v>54722.25</v>
      </c>
      <c r="K18" s="341"/>
      <c r="L18" s="342"/>
      <c r="M18" s="342"/>
      <c r="N18" s="342"/>
      <c r="O18" s="342"/>
      <c r="P18" s="342"/>
      <c r="Q18" s="343"/>
    </row>
    <row r="19" spans="1:17" ht="15.75" x14ac:dyDescent="0.25">
      <c r="A19" s="175" t="str">
        <f>'2) Area Prod Econ Info'!A73</f>
        <v>Fingerlings</v>
      </c>
      <c r="B19" s="178">
        <f>'2) Area Prod Econ Info'!B73</f>
        <v>4400</v>
      </c>
      <c r="C19" s="178">
        <f>'2) Area Prod Econ Info'!C73</f>
        <v>4400</v>
      </c>
      <c r="D19" s="178">
        <f>'2) Area Prod Econ Info'!D73</f>
        <v>4400</v>
      </c>
      <c r="E19" s="178">
        <f t="shared" si="2"/>
        <v>13200</v>
      </c>
      <c r="F19" s="94"/>
      <c r="G19" s="91">
        <f t="shared" si="3"/>
        <v>4400</v>
      </c>
      <c r="H19" s="91">
        <f t="shared" si="4"/>
        <v>4400</v>
      </c>
      <c r="I19" s="91">
        <f t="shared" si="5"/>
        <v>4400</v>
      </c>
      <c r="J19" s="192">
        <f t="shared" si="6"/>
        <v>13200</v>
      </c>
      <c r="K19" s="341"/>
      <c r="L19" s="342"/>
      <c r="M19" s="342"/>
      <c r="N19" s="342"/>
      <c r="O19" s="342"/>
      <c r="P19" s="342"/>
      <c r="Q19" s="343"/>
    </row>
    <row r="20" spans="1:17" ht="15.75" x14ac:dyDescent="0.25">
      <c r="A20" s="175" t="str">
        <f>'2) Area Prod Econ Info'!A74</f>
        <v>Management, actual</v>
      </c>
      <c r="B20" s="178">
        <f>'2) Area Prod Econ Info'!B74</f>
        <v>3115.3333333333335</v>
      </c>
      <c r="C20" s="178">
        <f>'2) Area Prod Econ Info'!C74</f>
        <v>3115.3333333333335</v>
      </c>
      <c r="D20" s="178">
        <f>'2) Area Prod Econ Info'!D74</f>
        <v>3115.3333333333335</v>
      </c>
      <c r="E20" s="177">
        <f t="shared" si="2"/>
        <v>9346</v>
      </c>
      <c r="F20" s="94"/>
      <c r="G20" s="91">
        <f t="shared" si="3"/>
        <v>3115.3333333333335</v>
      </c>
      <c r="H20" s="91">
        <f t="shared" si="4"/>
        <v>3115.3333333333335</v>
      </c>
      <c r="I20" s="91">
        <f t="shared" si="5"/>
        <v>3115.3333333333335</v>
      </c>
      <c r="J20" s="192">
        <f t="shared" si="6"/>
        <v>9346</v>
      </c>
      <c r="K20" s="341"/>
      <c r="L20" s="342"/>
      <c r="M20" s="342"/>
      <c r="N20" s="342"/>
      <c r="O20" s="342"/>
      <c r="P20" s="342"/>
      <c r="Q20" s="343"/>
    </row>
    <row r="21" spans="1:17" ht="15.75" x14ac:dyDescent="0.25">
      <c r="A21" s="175" t="str">
        <f>'2) Area Prod Econ Info'!A75</f>
        <v>Hired Labor, actual</v>
      </c>
      <c r="B21" s="178">
        <f>'2) Area Prod Econ Info'!B75</f>
        <v>2700</v>
      </c>
      <c r="C21" s="178">
        <f>'2) Area Prod Econ Info'!C75</f>
        <v>2700</v>
      </c>
      <c r="D21" s="178">
        <f>'2) Area Prod Econ Info'!D75</f>
        <v>2700</v>
      </c>
      <c r="E21" s="177">
        <f t="shared" si="2"/>
        <v>8100</v>
      </c>
      <c r="F21" s="94"/>
      <c r="G21" s="91">
        <f t="shared" si="3"/>
        <v>2700</v>
      </c>
      <c r="H21" s="91">
        <f t="shared" si="4"/>
        <v>2700</v>
      </c>
      <c r="I21" s="91">
        <f t="shared" si="5"/>
        <v>2700</v>
      </c>
      <c r="J21" s="192">
        <f t="shared" si="6"/>
        <v>8100</v>
      </c>
      <c r="K21" s="341"/>
      <c r="L21" s="342"/>
      <c r="M21" s="342"/>
      <c r="N21" s="342"/>
      <c r="O21" s="342"/>
      <c r="P21" s="342"/>
      <c r="Q21" s="343"/>
    </row>
    <row r="22" spans="1:17" ht="15.75" x14ac:dyDescent="0.25">
      <c r="A22" s="175" t="str">
        <f>'2) Area Prod Econ Info'!A76</f>
        <v>Fuel and lubricants for generator, actual</v>
      </c>
      <c r="B22" s="178">
        <f>'2) Area Prod Econ Info'!B76</f>
        <v>201.33333333333334</v>
      </c>
      <c r="C22" s="178">
        <f>'2) Area Prod Econ Info'!C76</f>
        <v>201.33333333333334</v>
      </c>
      <c r="D22" s="178">
        <f>'2) Area Prod Econ Info'!D76</f>
        <v>201.33333333333334</v>
      </c>
      <c r="E22" s="177">
        <f t="shared" si="2"/>
        <v>604</v>
      </c>
      <c r="F22" s="94"/>
      <c r="G22" s="91">
        <f t="shared" si="3"/>
        <v>201.33333333333334</v>
      </c>
      <c r="H22" s="91">
        <f t="shared" si="4"/>
        <v>201.33333333333334</v>
      </c>
      <c r="I22" s="91">
        <f t="shared" si="5"/>
        <v>201.33333333333334</v>
      </c>
      <c r="J22" s="192">
        <f t="shared" si="6"/>
        <v>604</v>
      </c>
      <c r="K22" s="341"/>
      <c r="L22" s="342"/>
      <c r="M22" s="342"/>
      <c r="N22" s="342"/>
      <c r="O22" s="342"/>
      <c r="P22" s="342"/>
      <c r="Q22" s="343"/>
    </row>
    <row r="23" spans="1:17" ht="15.75" x14ac:dyDescent="0.25">
      <c r="A23" s="175" t="str">
        <f>'2) Area Prod Econ Info'!A77</f>
        <v>Electricity for WWU*</v>
      </c>
      <c r="B23" s="178">
        <f>'2) Area Prod Econ Info'!B77</f>
        <v>2250</v>
      </c>
      <c r="C23" s="178">
        <f>'2) Area Prod Econ Info'!C77</f>
        <v>2250</v>
      </c>
      <c r="D23" s="178">
        <f>'2) Area Prod Econ Info'!D77</f>
        <v>2250</v>
      </c>
      <c r="E23" s="177">
        <f>SUM(B23:D23)</f>
        <v>6750</v>
      </c>
      <c r="F23" s="94"/>
      <c r="G23" s="91">
        <f t="shared" si="3"/>
        <v>2250</v>
      </c>
      <c r="H23" s="91">
        <f t="shared" si="4"/>
        <v>2250</v>
      </c>
      <c r="I23" s="91">
        <f t="shared" si="5"/>
        <v>2250</v>
      </c>
      <c r="J23" s="192">
        <f t="shared" si="6"/>
        <v>6750</v>
      </c>
      <c r="K23" s="341"/>
      <c r="L23" s="342"/>
      <c r="M23" s="342"/>
      <c r="N23" s="342"/>
      <c r="O23" s="342"/>
      <c r="P23" s="342"/>
      <c r="Q23" s="343"/>
    </row>
    <row r="24" spans="1:17" ht="15.75" x14ac:dyDescent="0.25">
      <c r="A24" s="175" t="str">
        <f>'2) Area Prod Econ Info'!A78</f>
        <v>Electricity for RW supplementary aeration*</v>
      </c>
      <c r="B24" s="178">
        <f>'2) Area Prod Econ Info'!B78</f>
        <v>562.5</v>
      </c>
      <c r="C24" s="178">
        <f>'2) Area Prod Econ Info'!C78</f>
        <v>562.5</v>
      </c>
      <c r="D24" s="178">
        <f>'2) Area Prod Econ Info'!D78</f>
        <v>562.5</v>
      </c>
      <c r="E24" s="177">
        <f>SUM(B24:D24)</f>
        <v>1687.5</v>
      </c>
      <c r="F24" s="94"/>
      <c r="G24" s="91">
        <f t="shared" si="3"/>
        <v>562.5</v>
      </c>
      <c r="H24" s="91">
        <f t="shared" si="4"/>
        <v>562.5</v>
      </c>
      <c r="I24" s="91">
        <f t="shared" si="5"/>
        <v>562.5</v>
      </c>
      <c r="J24" s="192">
        <f t="shared" si="6"/>
        <v>1687.5</v>
      </c>
      <c r="K24" s="341"/>
      <c r="L24" s="342"/>
      <c r="M24" s="342"/>
      <c r="N24" s="342"/>
      <c r="O24" s="342"/>
      <c r="P24" s="342"/>
      <c r="Q24" s="343"/>
    </row>
    <row r="25" spans="1:17" ht="15.75" x14ac:dyDescent="0.25">
      <c r="A25" s="175" t="str">
        <f>'2) Area Prod Econ Info'!A79</f>
        <v>Bird netting or predator protection, actual</v>
      </c>
      <c r="B25" s="178">
        <f>'2) Area Prod Econ Info'!B79</f>
        <v>83.333333333333329</v>
      </c>
      <c r="C25" s="178">
        <f>'2) Area Prod Econ Info'!C79</f>
        <v>83.333333333333329</v>
      </c>
      <c r="D25" s="178">
        <f>'2) Area Prod Econ Info'!D79</f>
        <v>83.333333333333329</v>
      </c>
      <c r="E25" s="177">
        <f>SUM(B25:D25)</f>
        <v>250</v>
      </c>
      <c r="F25" s="94"/>
      <c r="G25" s="91">
        <f t="shared" si="3"/>
        <v>83.333333333333329</v>
      </c>
      <c r="H25" s="91">
        <f t="shared" si="4"/>
        <v>83.333333333333329</v>
      </c>
      <c r="I25" s="91">
        <f t="shared" si="5"/>
        <v>83.333333333333329</v>
      </c>
      <c r="J25" s="192">
        <f t="shared" si="6"/>
        <v>250</v>
      </c>
      <c r="K25" s="341"/>
      <c r="L25" s="342"/>
      <c r="M25" s="342"/>
      <c r="N25" s="342"/>
      <c r="O25" s="342"/>
      <c r="P25" s="342"/>
      <c r="Q25" s="343"/>
    </row>
    <row r="26" spans="1:17" ht="15.75" x14ac:dyDescent="0.25">
      <c r="A26" s="175" t="str">
        <f>'2) Area Prod Econ Info'!A80</f>
        <v>Chemicals, total, actual</v>
      </c>
      <c r="B26" s="178">
        <f>'2) Area Prod Econ Info'!B80</f>
        <v>650</v>
      </c>
      <c r="C26" s="178">
        <f>'2) Area Prod Econ Info'!C80</f>
        <v>650</v>
      </c>
      <c r="D26" s="178">
        <f>'2) Area Prod Econ Info'!D80</f>
        <v>650</v>
      </c>
      <c r="E26" s="177">
        <f t="shared" ref="E26:E27" si="7">SUM(B26:D26)</f>
        <v>1950</v>
      </c>
      <c r="F26" s="94"/>
      <c r="G26" s="91">
        <f t="shared" si="3"/>
        <v>650</v>
      </c>
      <c r="H26" s="91">
        <f t="shared" si="4"/>
        <v>650</v>
      </c>
      <c r="I26" s="91">
        <f t="shared" si="5"/>
        <v>650</v>
      </c>
      <c r="J26" s="192">
        <f t="shared" si="6"/>
        <v>1950</v>
      </c>
      <c r="K26" s="341"/>
      <c r="L26" s="342"/>
      <c r="M26" s="342"/>
      <c r="N26" s="342"/>
      <c r="O26" s="342"/>
      <c r="P26" s="342"/>
      <c r="Q26" s="343"/>
    </row>
    <row r="27" spans="1:17" ht="15.75" x14ac:dyDescent="0.25">
      <c r="A27" s="175" t="str">
        <f>'2) Area Prod Econ Info'!A81</f>
        <v>Pond rental</v>
      </c>
      <c r="B27" s="178">
        <f>'2) Area Prod Econ Info'!B81</f>
        <v>0</v>
      </c>
      <c r="C27" s="178">
        <f>'2) Area Prod Econ Info'!C81</f>
        <v>0</v>
      </c>
      <c r="D27" s="178">
        <f>'2) Area Prod Econ Info'!D81</f>
        <v>0</v>
      </c>
      <c r="E27" s="177">
        <f t="shared" si="7"/>
        <v>0</v>
      </c>
      <c r="F27" s="94"/>
      <c r="G27" s="91"/>
      <c r="H27" s="91">
        <f t="shared" si="4"/>
        <v>0</v>
      </c>
      <c r="I27" s="91">
        <f t="shared" si="5"/>
        <v>0</v>
      </c>
      <c r="J27" s="192">
        <f t="shared" si="6"/>
        <v>0</v>
      </c>
      <c r="K27" s="341"/>
      <c r="L27" s="342"/>
      <c r="M27" s="342"/>
      <c r="N27" s="342"/>
      <c r="O27" s="342"/>
      <c r="P27" s="342"/>
      <c r="Q27" s="343"/>
    </row>
    <row r="28" spans="1:17" ht="15.75" x14ac:dyDescent="0.25">
      <c r="A28" s="175" t="str">
        <f>'2) Area Prod Econ Info'!A82</f>
        <v>Electrical meter-months</v>
      </c>
      <c r="B28" s="178">
        <f>'2) Area Prod Econ Info'!B82</f>
        <v>45</v>
      </c>
      <c r="C28" s="178">
        <f>'2) Area Prod Econ Info'!C82</f>
        <v>45</v>
      </c>
      <c r="D28" s="178">
        <f>'2) Area Prod Econ Info'!D82</f>
        <v>45</v>
      </c>
      <c r="E28" s="177">
        <f t="shared" ref="E28" si="8">SUM(B28:D28)</f>
        <v>135</v>
      </c>
      <c r="F28" s="94"/>
      <c r="G28" s="91">
        <f t="shared" si="3"/>
        <v>45</v>
      </c>
      <c r="H28" s="91">
        <f t="shared" si="4"/>
        <v>45</v>
      </c>
      <c r="I28" s="91">
        <f t="shared" si="5"/>
        <v>45</v>
      </c>
      <c r="J28" s="192">
        <f t="shared" si="6"/>
        <v>135</v>
      </c>
      <c r="K28" s="341"/>
      <c r="L28" s="342"/>
      <c r="M28" s="342"/>
      <c r="N28" s="342"/>
      <c r="O28" s="342"/>
      <c r="P28" s="342"/>
      <c r="Q28" s="343"/>
    </row>
    <row r="29" spans="1:17" ht="15.75" x14ac:dyDescent="0.25">
      <c r="A29" s="175" t="str">
        <f>'2) Area Prod Econ Info'!A84</f>
        <v>Repairs and maintenance</v>
      </c>
      <c r="B29" s="178">
        <f>'2) Area Prod Econ Info'!B84</f>
        <v>450</v>
      </c>
      <c r="C29" s="178">
        <f>'2) Area Prod Econ Info'!C84</f>
        <v>450</v>
      </c>
      <c r="D29" s="178">
        <f>'2) Area Prod Econ Info'!D84</f>
        <v>450</v>
      </c>
      <c r="E29" s="177">
        <f t="shared" ref="E29:E31" si="9">SUM(B29:D29)</f>
        <v>1350</v>
      </c>
      <c r="F29" s="94"/>
      <c r="G29" s="91">
        <f t="shared" si="3"/>
        <v>450</v>
      </c>
      <c r="H29" s="91">
        <f t="shared" si="4"/>
        <v>450</v>
      </c>
      <c r="I29" s="91">
        <f t="shared" si="5"/>
        <v>450</v>
      </c>
      <c r="J29" s="192">
        <f t="shared" si="6"/>
        <v>1350</v>
      </c>
      <c r="K29" s="341"/>
      <c r="L29" s="342"/>
      <c r="M29" s="342"/>
      <c r="N29" s="342"/>
      <c r="O29" s="342"/>
      <c r="P29" s="342"/>
      <c r="Q29" s="343"/>
    </row>
    <row r="30" spans="1:17" ht="15.75" x14ac:dyDescent="0.25">
      <c r="A30" s="175" t="str">
        <f>'2) Area Prod Econ Info'!A85</f>
        <v>Miscellaneous</v>
      </c>
      <c r="B30" s="178">
        <f>'2) Area Prod Econ Info'!B85</f>
        <v>133.33333333333334</v>
      </c>
      <c r="C30" s="178">
        <f>'2) Area Prod Econ Info'!C85</f>
        <v>133.33333333333334</v>
      </c>
      <c r="D30" s="178">
        <f>'2) Area Prod Econ Info'!D85</f>
        <v>133.33333333333334</v>
      </c>
      <c r="E30" s="177">
        <f t="shared" si="9"/>
        <v>400</v>
      </c>
      <c r="F30" s="94"/>
      <c r="G30" s="91">
        <f t="shared" si="3"/>
        <v>133.33333333333334</v>
      </c>
      <c r="H30" s="91">
        <f t="shared" si="4"/>
        <v>133.33333333333334</v>
      </c>
      <c r="I30" s="91">
        <f t="shared" si="5"/>
        <v>133.33333333333334</v>
      </c>
      <c r="J30" s="192">
        <f t="shared" si="6"/>
        <v>400</v>
      </c>
      <c r="K30" s="341"/>
      <c r="L30" s="342"/>
      <c r="M30" s="342"/>
      <c r="N30" s="342"/>
      <c r="O30" s="342"/>
      <c r="P30" s="342"/>
      <c r="Q30" s="343"/>
    </row>
    <row r="31" spans="1:17" ht="15.75" x14ac:dyDescent="0.25">
      <c r="A31" s="175" t="s">
        <v>182</v>
      </c>
      <c r="B31" s="177">
        <f>SUM(B18:B30)</f>
        <v>32831.583333333328</v>
      </c>
      <c r="C31" s="177">
        <f t="shared" ref="C31:D31" si="10">SUM(C18:C30)</f>
        <v>32831.583333333328</v>
      </c>
      <c r="D31" s="177">
        <f t="shared" si="10"/>
        <v>32831.583333333328</v>
      </c>
      <c r="E31" s="177">
        <f t="shared" si="9"/>
        <v>98494.749999999985</v>
      </c>
      <c r="F31" s="94"/>
      <c r="G31" s="89">
        <f>SUM(G18:G30)</f>
        <v>32831.583333333328</v>
      </c>
      <c r="H31" s="89">
        <f>SUM(H18:H30)</f>
        <v>32831.583333333328</v>
      </c>
      <c r="I31" s="89">
        <f t="shared" ref="I31" si="11">SUM(I18:I30)</f>
        <v>32831.583333333328</v>
      </c>
      <c r="J31" s="192">
        <f t="shared" si="6"/>
        <v>98494.749999999985</v>
      </c>
      <c r="K31" s="308"/>
      <c r="L31" s="308"/>
      <c r="M31" s="308"/>
      <c r="N31" s="308"/>
      <c r="O31" s="308"/>
      <c r="P31" s="308"/>
      <c r="Q31" s="309"/>
    </row>
    <row r="32" spans="1:17" ht="15.75" x14ac:dyDescent="0.25">
      <c r="A32" s="151"/>
      <c r="B32" s="153"/>
      <c r="C32" s="153"/>
      <c r="D32" s="153"/>
      <c r="E32" s="153"/>
      <c r="F32" s="94"/>
      <c r="G32" s="114"/>
      <c r="H32" s="114"/>
      <c r="I32" s="114"/>
      <c r="J32" s="114"/>
      <c r="K32" s="154"/>
      <c r="L32" s="154"/>
      <c r="M32" s="154"/>
      <c r="N32" s="154"/>
      <c r="O32" s="154"/>
      <c r="P32" s="154"/>
      <c r="Q32" s="155"/>
    </row>
    <row r="33" spans="1:17" ht="15.75" x14ac:dyDescent="0.25">
      <c r="A33" s="175" t="s">
        <v>198</v>
      </c>
      <c r="B33" s="177">
        <f>B15-B31</f>
        <v>61548.416666666672</v>
      </c>
      <c r="C33" s="177">
        <f t="shared" ref="C33:D33" si="12">C15-C31</f>
        <v>61548.416666666672</v>
      </c>
      <c r="D33" s="177">
        <f t="shared" si="12"/>
        <v>61548.416666666672</v>
      </c>
      <c r="E33" s="177">
        <f>SUM(B33:D33)</f>
        <v>184645.25</v>
      </c>
      <c r="F33" s="94"/>
      <c r="G33" s="179">
        <f>G15-G31</f>
        <v>20364.416666666672</v>
      </c>
      <c r="H33" s="179">
        <f t="shared" ref="H33:I33" si="13">H15-H31</f>
        <v>20364.416666666672</v>
      </c>
      <c r="I33" s="179">
        <f t="shared" si="13"/>
        <v>20364.416666666672</v>
      </c>
      <c r="J33" s="179">
        <f>SUM(G33:I33)</f>
        <v>61093.250000000015</v>
      </c>
      <c r="K33" s="341"/>
      <c r="L33" s="342"/>
      <c r="M33" s="342"/>
      <c r="N33" s="342"/>
      <c r="O33" s="342"/>
      <c r="P33" s="342"/>
      <c r="Q33" s="343"/>
    </row>
    <row r="34" spans="1:17" ht="15.75" x14ac:dyDescent="0.25">
      <c r="A34" s="142"/>
      <c r="B34" s="142"/>
      <c r="C34" s="142"/>
      <c r="D34" s="142"/>
      <c r="E34" s="142"/>
      <c r="F34" s="94"/>
      <c r="G34" s="114"/>
      <c r="H34" s="114"/>
      <c r="I34" s="114"/>
      <c r="J34" s="114"/>
      <c r="K34" s="154"/>
      <c r="L34" s="154"/>
      <c r="M34" s="154"/>
      <c r="N34" s="154"/>
      <c r="O34" s="154"/>
      <c r="P34" s="154"/>
      <c r="Q34" s="155"/>
    </row>
    <row r="35" spans="1:17" ht="15.75" x14ac:dyDescent="0.25">
      <c r="A35" s="143" t="s">
        <v>199</v>
      </c>
      <c r="B35" s="152"/>
      <c r="C35" s="152"/>
      <c r="D35" s="152"/>
      <c r="E35" s="152"/>
      <c r="F35" s="94"/>
      <c r="G35" s="114"/>
      <c r="H35" s="114"/>
      <c r="I35" s="114"/>
      <c r="J35" s="114"/>
      <c r="K35" s="154"/>
      <c r="L35" s="154"/>
      <c r="M35" s="154"/>
      <c r="N35" s="154"/>
      <c r="O35" s="154"/>
      <c r="P35" s="154"/>
      <c r="Q35" s="155"/>
    </row>
    <row r="36" spans="1:17" ht="15.75" x14ac:dyDescent="0.25">
      <c r="A36" s="175" t="s">
        <v>200</v>
      </c>
      <c r="B36" s="178">
        <f>'1) Investment &amp; Depreciation'!$I$33/'2) Area Prod Econ Info'!$C$27</f>
        <v>1428.25</v>
      </c>
      <c r="C36" s="178">
        <f>'1) Investment &amp; Depreciation'!$I$33/'2) Area Prod Econ Info'!$C$27</f>
        <v>1428.25</v>
      </c>
      <c r="D36" s="178">
        <f>'1) Investment &amp; Depreciation'!$I$33/'2) Area Prod Econ Info'!$C$27</f>
        <v>1428.25</v>
      </c>
      <c r="E36" s="177">
        <f t="shared" ref="E36:E37" si="14">SUM(B36:D36)</f>
        <v>4284.75</v>
      </c>
      <c r="F36" s="94"/>
      <c r="G36" s="92">
        <f>B36</f>
        <v>1428.25</v>
      </c>
      <c r="H36" s="92">
        <f t="shared" ref="H36:I37" si="15">C36</f>
        <v>1428.25</v>
      </c>
      <c r="I36" s="92">
        <f t="shared" si="15"/>
        <v>1428.25</v>
      </c>
      <c r="J36" s="89">
        <f>SUM(G36:I36)</f>
        <v>4284.75</v>
      </c>
      <c r="K36" s="344" t="s">
        <v>201</v>
      </c>
      <c r="L36" s="345"/>
      <c r="M36" s="345"/>
      <c r="N36" s="345"/>
      <c r="O36" s="345"/>
      <c r="P36" s="345"/>
      <c r="Q36" s="346"/>
    </row>
    <row r="37" spans="1:17" ht="15.75" x14ac:dyDescent="0.25">
      <c r="A37" s="180" t="s">
        <v>202</v>
      </c>
      <c r="B37" s="178">
        <f>'1) Investment &amp; Depreciation'!$I$55/'2) Area Prod Econ Info'!$C$27</f>
        <v>1638</v>
      </c>
      <c r="C37" s="178">
        <f>'1) Investment &amp; Depreciation'!$I$55/'2) Area Prod Econ Info'!$C$27</f>
        <v>1638</v>
      </c>
      <c r="D37" s="178">
        <f>'1) Investment &amp; Depreciation'!$I$55/'2) Area Prod Econ Info'!$C$27</f>
        <v>1638</v>
      </c>
      <c r="E37" s="177">
        <f t="shared" si="14"/>
        <v>4914</v>
      </c>
      <c r="F37" s="94"/>
      <c r="G37" s="92">
        <f>B37</f>
        <v>1638</v>
      </c>
      <c r="H37" s="92">
        <f t="shared" si="15"/>
        <v>1638</v>
      </c>
      <c r="I37" s="92">
        <f t="shared" si="15"/>
        <v>1638</v>
      </c>
      <c r="J37" s="89">
        <f t="shared" ref="J37:J38" si="16">SUM(G37:I37)</f>
        <v>4914</v>
      </c>
      <c r="K37" s="310" t="s">
        <v>203</v>
      </c>
      <c r="L37" s="308"/>
      <c r="M37" s="308"/>
      <c r="N37" s="308"/>
      <c r="O37" s="308"/>
      <c r="P37" s="308"/>
      <c r="Q37" s="309"/>
    </row>
    <row r="38" spans="1:17" ht="15.75" x14ac:dyDescent="0.25">
      <c r="A38" s="180" t="s">
        <v>204</v>
      </c>
      <c r="B38" s="177">
        <f>SUM(B36:B37)</f>
        <v>3066.25</v>
      </c>
      <c r="C38" s="177">
        <f t="shared" ref="C38:D38" si="17">SUM(C36:C37)</f>
        <v>3066.25</v>
      </c>
      <c r="D38" s="177">
        <f t="shared" si="17"/>
        <v>3066.25</v>
      </c>
      <c r="E38" s="177">
        <f t="shared" ref="E38" si="18">SUM(B38:D38)</f>
        <v>9198.75</v>
      </c>
      <c r="F38" s="94"/>
      <c r="G38" s="89">
        <f>SUM(G36:G37)</f>
        <v>3066.25</v>
      </c>
      <c r="H38" s="89">
        <f t="shared" ref="H38:I38" si="19">SUM(H36:H37)</f>
        <v>3066.25</v>
      </c>
      <c r="I38" s="89">
        <f t="shared" si="19"/>
        <v>3066.25</v>
      </c>
      <c r="J38" s="89">
        <f t="shared" si="16"/>
        <v>9198.75</v>
      </c>
      <c r="K38" s="341"/>
      <c r="L38" s="342"/>
      <c r="M38" s="342"/>
      <c r="N38" s="342"/>
      <c r="O38" s="342"/>
      <c r="P38" s="342"/>
      <c r="Q38" s="343"/>
    </row>
    <row r="39" spans="1:17" ht="15.75" x14ac:dyDescent="0.25">
      <c r="A39" s="142"/>
      <c r="B39" s="142"/>
      <c r="C39" s="142"/>
      <c r="D39" s="142"/>
      <c r="E39" s="142"/>
      <c r="F39" s="94"/>
      <c r="G39" s="140"/>
      <c r="H39" s="140"/>
      <c r="I39" s="140"/>
      <c r="J39" s="140"/>
      <c r="K39" s="154"/>
      <c r="L39" s="154"/>
      <c r="M39" s="154"/>
      <c r="N39" s="154"/>
      <c r="O39" s="154"/>
      <c r="P39" s="154"/>
      <c r="Q39" s="155"/>
    </row>
    <row r="40" spans="1:17" ht="15.75" x14ac:dyDescent="0.25">
      <c r="A40" s="171" t="s">
        <v>205</v>
      </c>
      <c r="B40" s="178">
        <f>B38+B31</f>
        <v>35897.833333333328</v>
      </c>
      <c r="C40" s="178">
        <f t="shared" ref="C40:D40" si="20">C38+C31</f>
        <v>35897.833333333328</v>
      </c>
      <c r="D40" s="178">
        <f t="shared" si="20"/>
        <v>35897.833333333328</v>
      </c>
      <c r="E40" s="178">
        <f>SUM(B40:D40)</f>
        <v>107693.49999999999</v>
      </c>
      <c r="F40" s="94"/>
      <c r="G40" s="89">
        <f>G38+G31</f>
        <v>35897.833333333328</v>
      </c>
      <c r="H40" s="89">
        <f t="shared" ref="H40:I40" si="21">H38+H31</f>
        <v>35897.833333333328</v>
      </c>
      <c r="I40" s="89">
        <f t="shared" si="21"/>
        <v>35897.833333333328</v>
      </c>
      <c r="J40" s="89">
        <f>SUM(G40:I40)</f>
        <v>107693.49999999999</v>
      </c>
      <c r="K40" s="341"/>
      <c r="L40" s="342"/>
      <c r="M40" s="342"/>
      <c r="N40" s="342"/>
      <c r="O40" s="342"/>
      <c r="P40" s="342"/>
      <c r="Q40" s="343"/>
    </row>
    <row r="41" spans="1:17" ht="15.75" x14ac:dyDescent="0.25">
      <c r="A41" s="142"/>
      <c r="B41" s="142"/>
      <c r="C41" s="142"/>
      <c r="D41" s="142"/>
      <c r="E41" s="142"/>
      <c r="F41" s="94"/>
      <c r="G41" s="140"/>
      <c r="H41" s="140"/>
      <c r="I41" s="140"/>
      <c r="J41" s="140"/>
      <c r="K41" s="154"/>
      <c r="L41" s="154"/>
      <c r="M41" s="154"/>
      <c r="N41" s="154"/>
      <c r="O41" s="154"/>
      <c r="P41" s="154"/>
      <c r="Q41" s="155"/>
    </row>
    <row r="42" spans="1:17" ht="15.75" x14ac:dyDescent="0.25">
      <c r="A42" s="181" t="s">
        <v>206</v>
      </c>
      <c r="B42" s="182">
        <f>B15-B40</f>
        <v>58482.166666666672</v>
      </c>
      <c r="C42" s="182">
        <f t="shared" ref="C42:D42" si="22">C15-C40</f>
        <v>58482.166666666672</v>
      </c>
      <c r="D42" s="182">
        <f t="shared" si="22"/>
        <v>58482.166666666672</v>
      </c>
      <c r="E42" s="182">
        <f>SUM(B42:D42)</f>
        <v>175446.5</v>
      </c>
      <c r="F42" s="94"/>
      <c r="G42" s="89">
        <f>G15-G40</f>
        <v>17298.166666666672</v>
      </c>
      <c r="H42" s="89">
        <f t="shared" ref="H42:I42" si="23">H15-H40</f>
        <v>17298.166666666672</v>
      </c>
      <c r="I42" s="89">
        <f t="shared" si="23"/>
        <v>17298.166666666672</v>
      </c>
      <c r="J42" s="89">
        <f>SUM(G42:I42)</f>
        <v>51894.500000000015</v>
      </c>
      <c r="K42" s="341"/>
      <c r="L42" s="342"/>
      <c r="M42" s="342"/>
      <c r="N42" s="342"/>
      <c r="O42" s="342"/>
      <c r="P42" s="342"/>
      <c r="Q42" s="343"/>
    </row>
    <row r="43" spans="1:17" ht="15.75" x14ac:dyDescent="0.25">
      <c r="A43" s="181" t="s">
        <v>207</v>
      </c>
      <c r="B43" s="183">
        <f>B42/'1) Investment &amp; Depreciation'!$E$57</f>
        <v>0.57061756883445502</v>
      </c>
      <c r="C43" s="183">
        <f>C42/'1) Investment &amp; Depreciation'!$E$57</f>
        <v>0.57061756883445502</v>
      </c>
      <c r="D43" s="183">
        <f>D42/'1) Investment &amp; Depreciation'!$E$57</f>
        <v>0.57061756883445502</v>
      </c>
      <c r="E43" s="183">
        <f>AVERAGE(B43:D43)</f>
        <v>0.57061756883445502</v>
      </c>
      <c r="F43" s="94"/>
      <c r="G43" s="187">
        <f>G42/'1) Investment &amp; Depreciation'!$E$57</f>
        <v>0.1687803029748649</v>
      </c>
      <c r="H43" s="187">
        <f>H42/'1) Investment &amp; Depreciation'!$E$57</f>
        <v>0.1687803029748649</v>
      </c>
      <c r="I43" s="187">
        <f>I42/'1) Investment &amp; Depreciation'!$E$57</f>
        <v>0.1687803029748649</v>
      </c>
      <c r="J43" s="185">
        <f>AVERAGE(G43:I43)</f>
        <v>0.1687803029748649</v>
      </c>
      <c r="K43" s="350" t="s">
        <v>208</v>
      </c>
      <c r="L43" s="351"/>
      <c r="M43" s="351"/>
      <c r="N43" s="351"/>
      <c r="O43" s="351"/>
      <c r="P43" s="351"/>
      <c r="Q43" s="352"/>
    </row>
    <row r="44" spans="1:17" ht="15.75" x14ac:dyDescent="0.25">
      <c r="A44" s="181" t="s">
        <v>209</v>
      </c>
      <c r="B44" s="184">
        <f>B40/B10</f>
        <v>1.0878131313131312</v>
      </c>
      <c r="C44" s="184">
        <f t="shared" ref="C44:D44" si="24">C40/C10</f>
        <v>1.0878131313131312</v>
      </c>
      <c r="D44" s="184">
        <f t="shared" si="24"/>
        <v>1.0878131313131312</v>
      </c>
      <c r="E44" s="184">
        <f>AVERAGE(B44:D44)</f>
        <v>1.0878131313131312</v>
      </c>
      <c r="F44" s="94"/>
      <c r="G44" s="186">
        <f>G40/G10</f>
        <v>1.0878131313131312</v>
      </c>
      <c r="H44" s="186">
        <f t="shared" ref="H44:I44" si="25">H40/H10</f>
        <v>1.0878131313131312</v>
      </c>
      <c r="I44" s="186">
        <f t="shared" si="25"/>
        <v>1.0878131313131312</v>
      </c>
      <c r="J44" s="186">
        <f>AVERAGE(G44:I44)</f>
        <v>1.0878131313131312</v>
      </c>
      <c r="K44" s="353" t="s">
        <v>210</v>
      </c>
      <c r="L44" s="354"/>
      <c r="M44" s="354"/>
      <c r="N44" s="354"/>
      <c r="O44" s="354"/>
      <c r="P44" s="354"/>
      <c r="Q44" s="355"/>
    </row>
    <row r="45" spans="1:17" ht="15.75" x14ac:dyDescent="0.25">
      <c r="A45" s="181" t="s">
        <v>211</v>
      </c>
      <c r="B45" s="184">
        <f>B40/(B10-B9)</f>
        <v>1.1214568364052899</v>
      </c>
      <c r="C45" s="184">
        <f t="shared" ref="C45:D45" si="26">C40/(C10-C9)</f>
        <v>1.1214568364052899</v>
      </c>
      <c r="D45" s="184">
        <f t="shared" si="26"/>
        <v>1.1214568364052899</v>
      </c>
      <c r="E45" s="184">
        <f>AVERAGE(B45:D45)</f>
        <v>1.1214568364052899</v>
      </c>
      <c r="F45" s="94"/>
      <c r="G45" s="186">
        <f>G40/(G10-G9)</f>
        <v>1.1214568364052899</v>
      </c>
      <c r="H45" s="186">
        <f t="shared" ref="H45:I45" si="27">H40/(H10-H9)</f>
        <v>1.1214568364052899</v>
      </c>
      <c r="I45" s="186">
        <f t="shared" si="27"/>
        <v>1.1214568364052899</v>
      </c>
      <c r="J45" s="186">
        <f>AVERAGE(G45:I45)</f>
        <v>1.1214568364052899</v>
      </c>
      <c r="K45" s="347" t="s">
        <v>212</v>
      </c>
      <c r="L45" s="348"/>
      <c r="M45" s="348"/>
      <c r="N45" s="348"/>
      <c r="O45" s="348"/>
      <c r="P45" s="348"/>
      <c r="Q45" s="349"/>
    </row>
    <row r="46" spans="1:17" ht="15.75" x14ac:dyDescent="0.25">
      <c r="A46" s="181" t="s">
        <v>213</v>
      </c>
      <c r="B46" s="205"/>
      <c r="C46" s="205"/>
      <c r="D46" s="205"/>
      <c r="E46" s="206">
        <f>'1) Investment &amp; Depreciation'!E57/'3) Generated Ent Budgets'!E42</f>
        <v>0.58416240848349776</v>
      </c>
      <c r="G46" s="140"/>
      <c r="H46" s="140"/>
      <c r="I46" s="140"/>
      <c r="J46" s="207">
        <f>E46</f>
        <v>0.58416240848349776</v>
      </c>
    </row>
  </sheetData>
  <sheetProtection sheet="1" objects="1" scenarios="1"/>
  <mergeCells count="27">
    <mergeCell ref="K36:Q36"/>
    <mergeCell ref="K45:Q45"/>
    <mergeCell ref="K38:Q38"/>
    <mergeCell ref="K40:Q40"/>
    <mergeCell ref="K42:Q42"/>
    <mergeCell ref="K43:Q43"/>
    <mergeCell ref="K44:Q44"/>
    <mergeCell ref="K27:Q27"/>
    <mergeCell ref="K28:Q28"/>
    <mergeCell ref="K29:Q29"/>
    <mergeCell ref="K30:Q30"/>
    <mergeCell ref="K33:Q33"/>
    <mergeCell ref="K22:Q22"/>
    <mergeCell ref="K23:Q23"/>
    <mergeCell ref="K24:Q24"/>
    <mergeCell ref="K25:Q25"/>
    <mergeCell ref="K26:Q26"/>
    <mergeCell ref="K17:Q17"/>
    <mergeCell ref="K18:Q18"/>
    <mergeCell ref="K19:Q19"/>
    <mergeCell ref="K20:Q20"/>
    <mergeCell ref="K21:Q21"/>
    <mergeCell ref="A5:E5"/>
    <mergeCell ref="K14:Q14"/>
    <mergeCell ref="G5:Q5"/>
    <mergeCell ref="K15:Q15"/>
    <mergeCell ref="K16:Q1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workbookViewId="0">
      <selection activeCell="G13" sqref="G13"/>
    </sheetView>
  </sheetViews>
  <sheetFormatPr defaultRowHeight="15" x14ac:dyDescent="0.25"/>
  <cols>
    <col min="1" max="1" width="29.85546875" customWidth="1"/>
    <col min="2" max="2" width="20.85546875" customWidth="1"/>
    <col min="3" max="3" width="22.85546875" customWidth="1"/>
    <col min="4" max="4" width="17.28515625" customWidth="1"/>
    <col min="5" max="5" width="11.140625" customWidth="1"/>
    <col min="6" max="6" width="11.5703125" customWidth="1"/>
    <col min="8" max="8" width="10.5703125" customWidth="1"/>
    <col min="9" max="9" width="11.7109375" customWidth="1"/>
  </cols>
  <sheetData>
    <row r="1" spans="1:10" ht="31.5" customHeight="1" thickBot="1" x14ac:dyDescent="0.4">
      <c r="A1" s="359" t="s">
        <v>214</v>
      </c>
      <c r="B1" s="360"/>
      <c r="C1" s="361"/>
    </row>
    <row r="2" spans="1:10" ht="23.25" customHeight="1" x14ac:dyDescent="0.25">
      <c r="A2" s="4" t="s">
        <v>215</v>
      </c>
      <c r="B2" s="362" t="s">
        <v>216</v>
      </c>
      <c r="C2" s="362"/>
    </row>
    <row r="3" spans="1:10" ht="15.75" customHeight="1" thickBot="1" x14ac:dyDescent="0.3">
      <c r="A3" s="5"/>
      <c r="B3" s="5"/>
      <c r="C3" s="5"/>
    </row>
    <row r="4" spans="1:10" ht="15.75" customHeight="1" x14ac:dyDescent="0.25">
      <c r="A4" s="356" t="s">
        <v>217</v>
      </c>
      <c r="B4" s="357"/>
      <c r="C4" s="357"/>
      <c r="D4" s="357"/>
      <c r="E4" s="358"/>
    </row>
    <row r="5" spans="1:10" ht="15.75" customHeight="1" x14ac:dyDescent="0.25">
      <c r="A5" s="6"/>
      <c r="B5" s="7" t="s">
        <v>218</v>
      </c>
      <c r="C5" s="7" t="s">
        <v>95</v>
      </c>
      <c r="D5" s="7" t="s">
        <v>96</v>
      </c>
      <c r="E5" s="8" t="s">
        <v>97</v>
      </c>
      <c r="F5" s="9"/>
      <c r="G5" s="9"/>
      <c r="H5" s="9"/>
      <c r="I5" s="9"/>
      <c r="J5" s="9"/>
    </row>
    <row r="6" spans="1:10" s="13" customFormat="1" ht="15.75" customHeight="1" x14ac:dyDescent="0.2">
      <c r="A6" s="10"/>
      <c r="B6" s="11" t="s">
        <v>94</v>
      </c>
      <c r="C6" s="11" t="s">
        <v>94</v>
      </c>
      <c r="D6" s="11" t="s">
        <v>94</v>
      </c>
      <c r="E6" s="12" t="s">
        <v>46</v>
      </c>
      <c r="F6" s="11"/>
      <c r="G6" s="11"/>
      <c r="H6" s="11"/>
      <c r="I6" s="11"/>
      <c r="J6" s="11"/>
    </row>
    <row r="7" spans="1:10" ht="15.75" customHeight="1" x14ac:dyDescent="0.25">
      <c r="A7" s="4" t="s">
        <v>219</v>
      </c>
      <c r="B7" s="320">
        <v>2</v>
      </c>
      <c r="C7" s="321">
        <v>150</v>
      </c>
      <c r="D7" s="318">
        <v>100</v>
      </c>
      <c r="E7" s="385">
        <f>B7*C7*D7</f>
        <v>30000</v>
      </c>
      <c r="G7" s="16"/>
      <c r="H7" s="16"/>
    </row>
    <row r="8" spans="1:10" ht="15.75" customHeight="1" x14ac:dyDescent="0.25">
      <c r="A8" s="198" t="s">
        <v>220</v>
      </c>
      <c r="B8" s="379">
        <v>1.5</v>
      </c>
      <c r="C8" s="380">
        <v>50</v>
      </c>
      <c r="D8" s="379">
        <v>100</v>
      </c>
      <c r="E8" s="381">
        <f>B8*C8*D8</f>
        <v>7500</v>
      </c>
      <c r="G8" s="16"/>
      <c r="H8" s="16"/>
    </row>
    <row r="9" spans="1:10" ht="15.75" customHeight="1" x14ac:dyDescent="0.25">
      <c r="A9" s="198" t="s">
        <v>221</v>
      </c>
      <c r="B9" s="318">
        <v>1</v>
      </c>
      <c r="C9" s="319">
        <v>100</v>
      </c>
      <c r="D9" s="318">
        <v>100</v>
      </c>
      <c r="E9" s="385">
        <f>B9*C9*D9</f>
        <v>10000</v>
      </c>
      <c r="G9" s="16"/>
      <c r="H9" s="16"/>
    </row>
    <row r="10" spans="1:10" ht="15.75" customHeight="1" x14ac:dyDescent="0.25">
      <c r="A10" s="198" t="s">
        <v>222</v>
      </c>
      <c r="B10" s="384" t="s">
        <v>223</v>
      </c>
      <c r="C10" s="198" t="s">
        <v>223</v>
      </c>
      <c r="D10" s="384" t="s">
        <v>223</v>
      </c>
      <c r="E10" s="318"/>
      <c r="G10" s="16"/>
      <c r="H10" s="16"/>
    </row>
    <row r="11" spans="1:10" ht="15.75" customHeight="1" thickBot="1" x14ac:dyDescent="0.3">
      <c r="A11" s="18"/>
      <c r="B11" s="15"/>
      <c r="D11" s="15"/>
      <c r="E11" s="15"/>
      <c r="F11" s="15"/>
    </row>
    <row r="12" spans="1:10" ht="15.75" customHeight="1" x14ac:dyDescent="0.25">
      <c r="A12" s="356" t="s">
        <v>224</v>
      </c>
      <c r="B12" s="357"/>
      <c r="C12" s="357"/>
      <c r="D12" s="357"/>
      <c r="E12" s="358"/>
      <c r="F12" s="15"/>
    </row>
    <row r="13" spans="1:10" s="21" customFormat="1" ht="26.25" x14ac:dyDescent="0.25">
      <c r="A13" s="19"/>
      <c r="B13" s="7" t="s">
        <v>100</v>
      </c>
      <c r="C13" s="20" t="s">
        <v>101</v>
      </c>
      <c r="D13" s="7" t="s">
        <v>102</v>
      </c>
      <c r="E13" s="8" t="s">
        <v>225</v>
      </c>
      <c r="F13" s="7"/>
    </row>
    <row r="14" spans="1:10" ht="15.75" customHeight="1" x14ac:dyDescent="0.25">
      <c r="A14" s="14"/>
      <c r="B14" s="22" t="s">
        <v>94</v>
      </c>
      <c r="C14" s="5" t="s">
        <v>94</v>
      </c>
      <c r="D14" s="22" t="s">
        <v>94</v>
      </c>
      <c r="E14" s="23" t="s">
        <v>46</v>
      </c>
      <c r="F14" s="24"/>
    </row>
    <row r="15" spans="1:10" ht="15.75" customHeight="1" x14ac:dyDescent="0.25">
      <c r="A15" s="312" t="s">
        <v>226</v>
      </c>
      <c r="B15" s="322">
        <v>2</v>
      </c>
      <c r="C15" s="314">
        <v>5</v>
      </c>
      <c r="D15" s="313">
        <v>22</v>
      </c>
      <c r="E15" s="386">
        <f>B15*C15*D15</f>
        <v>220</v>
      </c>
      <c r="F15" s="15"/>
    </row>
    <row r="16" spans="1:10" ht="15.75" customHeight="1" thickBot="1" x14ac:dyDescent="0.3">
      <c r="A16" s="162" t="s">
        <v>227</v>
      </c>
      <c r="B16" s="315">
        <v>1.5</v>
      </c>
      <c r="C16" s="316">
        <v>3</v>
      </c>
      <c r="D16" s="315">
        <v>12</v>
      </c>
      <c r="E16" s="317">
        <f>B16*C16*D16</f>
        <v>54</v>
      </c>
      <c r="F16" s="15"/>
    </row>
    <row r="17" spans="1:9" ht="15.75" customHeight="1" thickBot="1" x14ac:dyDescent="0.3">
      <c r="A17" s="18"/>
      <c r="B17" s="15"/>
      <c r="D17" s="15"/>
      <c r="E17" s="15"/>
      <c r="F17" s="15"/>
    </row>
    <row r="18" spans="1:9" ht="15.75" customHeight="1" x14ac:dyDescent="0.25">
      <c r="A18" s="356" t="s">
        <v>228</v>
      </c>
      <c r="B18" s="357"/>
      <c r="C18" s="357"/>
      <c r="D18" s="358"/>
      <c r="E18" s="13"/>
      <c r="F18" s="13"/>
    </row>
    <row r="19" spans="1:9" ht="28.5" customHeight="1" x14ac:dyDescent="0.25">
      <c r="A19" s="14"/>
      <c r="B19" s="15"/>
      <c r="C19" s="25" t="s">
        <v>104</v>
      </c>
      <c r="D19" s="26" t="s">
        <v>229</v>
      </c>
      <c r="F19" s="20"/>
    </row>
    <row r="20" spans="1:9" ht="30.75" customHeight="1" x14ac:dyDescent="0.25">
      <c r="A20" s="14"/>
      <c r="B20" s="7" t="s">
        <v>97</v>
      </c>
      <c r="C20" s="25" t="s">
        <v>230</v>
      </c>
      <c r="D20" s="27"/>
      <c r="F20" s="20"/>
      <c r="H20" s="20"/>
      <c r="I20" s="20"/>
    </row>
    <row r="21" spans="1:9" s="13" customFormat="1" ht="15.75" customHeight="1" x14ac:dyDescent="0.2">
      <c r="A21" s="10"/>
      <c r="B21" s="7"/>
      <c r="C21" s="28">
        <v>2.1999999999999999E-2</v>
      </c>
      <c r="D21" s="29"/>
      <c r="H21" s="25"/>
      <c r="I21" s="25"/>
    </row>
    <row r="22" spans="1:9" s="13" customFormat="1" ht="15.75" customHeight="1" x14ac:dyDescent="0.2">
      <c r="A22" s="10"/>
      <c r="B22" s="22" t="s">
        <v>46</v>
      </c>
      <c r="C22" s="22" t="s">
        <v>46</v>
      </c>
      <c r="D22" s="29"/>
      <c r="I22" s="11"/>
    </row>
    <row r="23" spans="1:9" ht="15.75" customHeight="1" x14ac:dyDescent="0.25">
      <c r="A23" s="10" t="s">
        <v>219</v>
      </c>
      <c r="B23" s="156">
        <f>$E$7</f>
        <v>30000</v>
      </c>
      <c r="C23" s="389">
        <f>B23*$C$21</f>
        <v>660</v>
      </c>
      <c r="D23" s="157">
        <f>C23/$E$15</f>
        <v>3</v>
      </c>
      <c r="F23" s="16"/>
      <c r="I23" s="16"/>
    </row>
    <row r="24" spans="1:9" ht="15.75" customHeight="1" x14ac:dyDescent="0.25">
      <c r="A24" s="10" t="s">
        <v>220</v>
      </c>
      <c r="B24" s="156">
        <f>$E$8</f>
        <v>7500</v>
      </c>
      <c r="C24" s="68">
        <f>B24*$C$21</f>
        <v>165</v>
      </c>
      <c r="D24" s="157">
        <f>C24/$E$15</f>
        <v>0.75</v>
      </c>
      <c r="F24" s="16"/>
      <c r="I24" s="16"/>
    </row>
    <row r="25" spans="1:9" ht="15.75" customHeight="1" x14ac:dyDescent="0.25">
      <c r="A25" s="10" t="s">
        <v>231</v>
      </c>
      <c r="B25" s="387">
        <f>$E$9</f>
        <v>10000</v>
      </c>
      <c r="C25" s="158">
        <f t="shared" ref="C25:C26" si="0">B25*$C$21</f>
        <v>220</v>
      </c>
      <c r="D25" s="159">
        <f>C25/$E$15</f>
        <v>1</v>
      </c>
      <c r="F25" s="16"/>
      <c r="I25" s="16"/>
    </row>
    <row r="26" spans="1:9" ht="15.75" customHeight="1" thickBot="1" x14ac:dyDescent="0.3">
      <c r="A26" s="17" t="s">
        <v>222</v>
      </c>
      <c r="B26" s="388">
        <f>$E$10</f>
        <v>0</v>
      </c>
      <c r="C26" s="160">
        <f t="shared" si="0"/>
        <v>0</v>
      </c>
      <c r="D26" s="161">
        <f>C26/$E$15</f>
        <v>0</v>
      </c>
      <c r="F26" s="16"/>
      <c r="I26" s="16"/>
    </row>
    <row r="27" spans="1:9" ht="15.75" customHeight="1" thickBot="1" x14ac:dyDescent="0.3">
      <c r="A27" s="13"/>
      <c r="B27" s="30"/>
      <c r="E27" s="16"/>
      <c r="F27" s="16"/>
      <c r="I27" s="16"/>
    </row>
    <row r="28" spans="1:9" ht="15.75" customHeight="1" x14ac:dyDescent="0.25">
      <c r="A28" s="356" t="s">
        <v>232</v>
      </c>
      <c r="B28" s="357"/>
      <c r="C28" s="357"/>
      <c r="D28" s="358"/>
      <c r="E28" s="16"/>
      <c r="F28" s="16"/>
      <c r="I28" s="16"/>
    </row>
    <row r="29" spans="1:9" ht="28.5" customHeight="1" x14ac:dyDescent="0.25">
      <c r="A29" s="14"/>
      <c r="B29" s="15"/>
      <c r="C29" s="25" t="s">
        <v>104</v>
      </c>
      <c r="D29" s="26" t="s">
        <v>233</v>
      </c>
      <c r="E29" s="16"/>
      <c r="F29" s="16"/>
      <c r="I29" s="16"/>
    </row>
    <row r="30" spans="1:9" ht="32.25" customHeight="1" x14ac:dyDescent="0.25">
      <c r="A30" s="14"/>
      <c r="B30" s="7" t="s">
        <v>97</v>
      </c>
      <c r="C30" s="25" t="s">
        <v>230</v>
      </c>
      <c r="D30" s="27"/>
      <c r="E30" s="16"/>
      <c r="F30" s="16"/>
      <c r="I30" s="16"/>
    </row>
    <row r="31" spans="1:9" ht="15.75" customHeight="1" x14ac:dyDescent="0.35">
      <c r="A31" s="10"/>
      <c r="B31" s="7"/>
      <c r="C31" s="28">
        <v>2.1999999999999999E-2</v>
      </c>
      <c r="D31" s="29"/>
      <c r="E31" s="16"/>
      <c r="F31" s="16"/>
      <c r="H31" s="18" t="s">
        <v>234</v>
      </c>
      <c r="I31" s="75"/>
    </row>
    <row r="32" spans="1:9" ht="15.75" customHeight="1" x14ac:dyDescent="0.25">
      <c r="A32" s="10"/>
      <c r="B32" s="22" t="s">
        <v>46</v>
      </c>
      <c r="C32" s="22" t="s">
        <v>46</v>
      </c>
      <c r="D32" s="29"/>
      <c r="E32" s="16"/>
      <c r="F32" s="16"/>
      <c r="I32" s="16"/>
    </row>
    <row r="33" spans="1:17" ht="15.75" customHeight="1" x14ac:dyDescent="0.25">
      <c r="A33" s="10" t="s">
        <v>219</v>
      </c>
      <c r="B33" s="156">
        <f>$E$7</f>
        <v>30000</v>
      </c>
      <c r="C33" s="68">
        <f>B33*$C$21</f>
        <v>660</v>
      </c>
      <c r="D33" s="157">
        <f>C33/$E$16</f>
        <v>12.222222222222221</v>
      </c>
      <c r="E33" s="16"/>
      <c r="F33" s="16"/>
      <c r="I33" s="16"/>
    </row>
    <row r="34" spans="1:17" ht="15.75" customHeight="1" x14ac:dyDescent="0.25">
      <c r="A34" s="10" t="s">
        <v>220</v>
      </c>
      <c r="B34" s="156">
        <f>$E$8</f>
        <v>7500</v>
      </c>
      <c r="C34" s="68">
        <f>B34*$C$21</f>
        <v>165</v>
      </c>
      <c r="D34" s="157">
        <f>C34/$E$16</f>
        <v>3.0555555555555554</v>
      </c>
      <c r="E34" s="16"/>
      <c r="F34" s="16"/>
      <c r="I34" s="16"/>
    </row>
    <row r="35" spans="1:17" ht="15.75" customHeight="1" x14ac:dyDescent="0.25">
      <c r="A35" s="10" t="s">
        <v>231</v>
      </c>
      <c r="B35" s="387">
        <f>$E$9</f>
        <v>10000</v>
      </c>
      <c r="C35" s="158">
        <f t="shared" ref="C35:C36" si="1">B35*$C$21</f>
        <v>220</v>
      </c>
      <c r="D35" s="159">
        <f>C35/$E$16</f>
        <v>4.0740740740740744</v>
      </c>
      <c r="E35" s="16"/>
      <c r="F35" s="16"/>
      <c r="I35" s="16"/>
    </row>
    <row r="36" spans="1:17" ht="15.75" customHeight="1" thickBot="1" x14ac:dyDescent="0.3">
      <c r="A36" s="17" t="s">
        <v>222</v>
      </c>
      <c r="B36" s="388">
        <f>$E$10</f>
        <v>0</v>
      </c>
      <c r="C36" s="160">
        <f t="shared" si="1"/>
        <v>0</v>
      </c>
      <c r="D36" s="161">
        <f>C36/$E$16</f>
        <v>0</v>
      </c>
      <c r="E36" s="16"/>
      <c r="F36" s="16"/>
      <c r="I36" s="16"/>
    </row>
    <row r="37" spans="1:17" ht="15.75" customHeight="1" x14ac:dyDescent="0.25">
      <c r="B37" s="15"/>
      <c r="D37" s="15"/>
      <c r="E37" s="15"/>
      <c r="F37" s="15"/>
    </row>
    <row r="38" spans="1:17" ht="15.75" customHeight="1" x14ac:dyDescent="0.25">
      <c r="A38" s="31" t="s">
        <v>235</v>
      </c>
      <c r="G38" s="15"/>
      <c r="H38" s="15"/>
      <c r="I38" s="15"/>
      <c r="L38" s="15"/>
      <c r="M38" s="32"/>
      <c r="N38" s="15"/>
      <c r="O38" s="15"/>
      <c r="P38" s="15"/>
      <c r="Q38" s="33"/>
    </row>
    <row r="39" spans="1:17" ht="15.75" customHeight="1" x14ac:dyDescent="0.25">
      <c r="H39" s="15"/>
    </row>
  </sheetData>
  <sheetProtection sheet="1" objects="1" scenarios="1"/>
  <mergeCells count="6">
    <mergeCell ref="A28:D28"/>
    <mergeCell ref="A1:C1"/>
    <mergeCell ref="B2:C2"/>
    <mergeCell ref="A4:E4"/>
    <mergeCell ref="A12:E12"/>
    <mergeCell ref="A18:D18"/>
  </mergeCells>
  <dataValidations disablePrompts="1" count="2">
    <dataValidation type="list" allowBlank="1" showInputMessage="1" showErrorMessage="1" sqref="F5">
      <formula1>$Q$12:$Q$16</formula1>
    </dataValidation>
    <dataValidation type="list" allowBlank="1" showInputMessage="1" showErrorMessage="1" sqref="S12 E13">
      <formula1>$R$12:$R$13</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election activeCell="I6" sqref="I6"/>
    </sheetView>
  </sheetViews>
  <sheetFormatPr defaultRowHeight="15" x14ac:dyDescent="0.25"/>
  <cols>
    <col min="1" max="1" width="20.28515625" customWidth="1"/>
    <col min="2" max="2" width="15.28515625" customWidth="1"/>
    <col min="3" max="3" width="15.85546875" customWidth="1"/>
    <col min="4" max="4" width="17.42578125" customWidth="1"/>
    <col min="5" max="5" width="15.28515625" customWidth="1"/>
    <col min="6" max="6" width="16.85546875" customWidth="1"/>
    <col min="7" max="7" width="15" customWidth="1"/>
    <col min="8" max="8" width="14.5703125" customWidth="1"/>
  </cols>
  <sheetData>
    <row r="1" spans="1:12" ht="31.5" customHeight="1" x14ac:dyDescent="0.35">
      <c r="A1" s="363" t="s">
        <v>236</v>
      </c>
      <c r="B1" s="364"/>
      <c r="C1" s="364"/>
      <c r="D1" s="364"/>
      <c r="E1" s="364"/>
      <c r="F1" s="364"/>
    </row>
    <row r="2" spans="1:12" ht="24" customHeight="1" x14ac:dyDescent="0.25">
      <c r="A2" s="365" t="s">
        <v>237</v>
      </c>
      <c r="B2" s="365"/>
      <c r="C2" s="365"/>
      <c r="D2" s="366" t="s">
        <v>216</v>
      </c>
      <c r="E2" s="367"/>
      <c r="F2" s="367"/>
    </row>
    <row r="3" spans="1:12" x14ac:dyDescent="0.25">
      <c r="A3" s="18" t="s">
        <v>238</v>
      </c>
      <c r="B3" s="34" t="s">
        <v>239</v>
      </c>
      <c r="C3" s="18"/>
    </row>
    <row r="4" spans="1:12" x14ac:dyDescent="0.25">
      <c r="B4" s="18" t="s">
        <v>240</v>
      </c>
    </row>
    <row r="5" spans="1:12" x14ac:dyDescent="0.25">
      <c r="B5" s="18"/>
    </row>
    <row r="6" spans="1:12" ht="26.25" x14ac:dyDescent="0.25">
      <c r="A6" s="198" t="s">
        <v>241</v>
      </c>
      <c r="B6" s="198" t="s">
        <v>242</v>
      </c>
      <c r="C6" s="198" t="s">
        <v>243</v>
      </c>
      <c r="D6" s="199" t="s">
        <v>244</v>
      </c>
      <c r="E6" s="200" t="s">
        <v>245</v>
      </c>
      <c r="F6" s="199" t="s">
        <v>246</v>
      </c>
      <c r="G6" s="201" t="s">
        <v>247</v>
      </c>
      <c r="H6" s="201" t="s">
        <v>248</v>
      </c>
      <c r="I6" s="20"/>
      <c r="J6" s="20"/>
      <c r="K6" s="20"/>
      <c r="L6" s="20"/>
    </row>
    <row r="7" spans="1:12" x14ac:dyDescent="0.25">
      <c r="A7" s="198" t="s">
        <v>249</v>
      </c>
      <c r="B7" s="77"/>
      <c r="C7" s="77"/>
      <c r="D7" s="202" t="s">
        <v>250</v>
      </c>
      <c r="E7" s="202" t="s">
        <v>251</v>
      </c>
      <c r="F7" s="202" t="s">
        <v>46</v>
      </c>
      <c r="G7" s="77" t="s">
        <v>252</v>
      </c>
      <c r="H7" s="203"/>
      <c r="I7" s="35"/>
      <c r="J7" s="36"/>
      <c r="K7" s="36"/>
      <c r="L7" s="36"/>
    </row>
    <row r="8" spans="1:12" x14ac:dyDescent="0.25">
      <c r="A8" s="382" t="s">
        <v>253</v>
      </c>
      <c r="B8" s="382" t="s">
        <v>116</v>
      </c>
      <c r="C8" s="382" t="s">
        <v>188</v>
      </c>
      <c r="D8" s="382">
        <v>150</v>
      </c>
      <c r="E8" s="382">
        <v>1</v>
      </c>
      <c r="F8" s="382">
        <v>220</v>
      </c>
      <c r="G8" s="390">
        <v>0.9</v>
      </c>
      <c r="H8" s="204">
        <f>(D8/E8)*F8/G8</f>
        <v>36666.666666666664</v>
      </c>
      <c r="I8" s="37"/>
    </row>
    <row r="9" spans="1:12" x14ac:dyDescent="0.25">
      <c r="A9" s="382" t="s">
        <v>253</v>
      </c>
      <c r="B9" s="382" t="s">
        <v>254</v>
      </c>
      <c r="C9" s="382" t="s">
        <v>255</v>
      </c>
      <c r="D9" s="382">
        <v>125</v>
      </c>
      <c r="E9" s="391">
        <v>0.55000000000000004</v>
      </c>
      <c r="F9" s="382">
        <v>220</v>
      </c>
      <c r="G9" s="390">
        <v>0.9</v>
      </c>
      <c r="H9" s="204">
        <f t="shared" ref="H9:H15" si="0">(D9/E9)*F9/G9</f>
        <v>55555.555555555547</v>
      </c>
      <c r="I9" s="37"/>
    </row>
    <row r="10" spans="1:12" x14ac:dyDescent="0.25">
      <c r="A10" s="392" t="s">
        <v>253</v>
      </c>
      <c r="B10" s="382" t="s">
        <v>256</v>
      </c>
      <c r="C10" s="382" t="s">
        <v>257</v>
      </c>
      <c r="D10" s="382">
        <v>130</v>
      </c>
      <c r="E10" s="393">
        <v>2.3690000000000002</v>
      </c>
      <c r="F10" s="382">
        <v>220</v>
      </c>
      <c r="G10" s="390">
        <v>0.95</v>
      </c>
      <c r="H10" s="204">
        <f t="shared" si="0"/>
        <v>12708.004709959785</v>
      </c>
      <c r="I10" s="37"/>
    </row>
    <row r="11" spans="1:12" x14ac:dyDescent="0.25">
      <c r="A11" s="392" t="s">
        <v>258</v>
      </c>
      <c r="B11" s="382" t="s">
        <v>254</v>
      </c>
      <c r="C11" s="382" t="s">
        <v>255</v>
      </c>
      <c r="D11" s="382">
        <v>70</v>
      </c>
      <c r="E11" s="393">
        <v>0.35</v>
      </c>
      <c r="F11" s="390">
        <v>54</v>
      </c>
      <c r="G11" s="382">
        <v>0.9</v>
      </c>
      <c r="H11" s="204">
        <f t="shared" si="0"/>
        <v>12000</v>
      </c>
      <c r="I11" s="37"/>
    </row>
    <row r="12" spans="1:12" x14ac:dyDescent="0.25">
      <c r="A12" s="392" t="s">
        <v>259</v>
      </c>
      <c r="B12" s="382" t="s">
        <v>254</v>
      </c>
      <c r="C12" s="382" t="s">
        <v>255</v>
      </c>
      <c r="D12" s="390">
        <v>50</v>
      </c>
      <c r="E12" s="390">
        <v>0.5</v>
      </c>
      <c r="F12" s="390">
        <v>54</v>
      </c>
      <c r="G12" s="390">
        <v>0.9</v>
      </c>
      <c r="H12" s="38">
        <f t="shared" si="0"/>
        <v>6000</v>
      </c>
    </row>
    <row r="13" spans="1:12" x14ac:dyDescent="0.25">
      <c r="A13" s="392" t="s">
        <v>260</v>
      </c>
      <c r="B13" s="382"/>
      <c r="C13" s="382"/>
      <c r="D13" s="390"/>
      <c r="E13" s="383"/>
      <c r="F13" s="390"/>
      <c r="G13" s="390"/>
      <c r="H13" s="38" t="e">
        <f t="shared" si="0"/>
        <v>#DIV/0!</v>
      </c>
    </row>
    <row r="14" spans="1:12" x14ac:dyDescent="0.25">
      <c r="A14" s="392" t="s">
        <v>260</v>
      </c>
      <c r="B14" s="382"/>
      <c r="C14" s="382"/>
      <c r="D14" s="390"/>
      <c r="E14" s="390"/>
      <c r="F14" s="390"/>
      <c r="G14" s="390"/>
      <c r="H14" s="38" t="e">
        <f t="shared" si="0"/>
        <v>#DIV/0!</v>
      </c>
    </row>
    <row r="15" spans="1:12" x14ac:dyDescent="0.25">
      <c r="A15" s="392" t="s">
        <v>260</v>
      </c>
      <c r="B15" s="390"/>
      <c r="C15" s="390"/>
      <c r="D15" s="390"/>
      <c r="E15" s="390"/>
      <c r="F15" s="383"/>
      <c r="G15" s="390"/>
      <c r="H15" s="38" t="e">
        <f t="shared" si="0"/>
        <v>#DIV/0!</v>
      </c>
    </row>
    <row r="17" spans="1:1" x14ac:dyDescent="0.25">
      <c r="A17" s="31" t="s">
        <v>235</v>
      </c>
    </row>
    <row r="18" spans="1:1" x14ac:dyDescent="0.25">
      <c r="A18" s="39"/>
    </row>
  </sheetData>
  <sheetProtection sheet="1" objects="1" scenarios="1"/>
  <mergeCells count="3">
    <mergeCell ref="A1:F1"/>
    <mergeCell ref="A2:C2"/>
    <mergeCell ref="D2:F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tabSelected="1" topLeftCell="A7" workbookViewId="0">
      <selection activeCell="B22" sqref="B22"/>
    </sheetView>
  </sheetViews>
  <sheetFormatPr defaultRowHeight="15" x14ac:dyDescent="0.25"/>
  <cols>
    <col min="1" max="1" width="20" customWidth="1"/>
    <col min="2" max="2" width="13.85546875" customWidth="1"/>
    <col min="3" max="3" width="10.7109375" customWidth="1"/>
    <col min="4" max="5" width="11.28515625" customWidth="1"/>
    <col min="6" max="6" width="14" customWidth="1"/>
    <col min="7" max="7" width="15.85546875" customWidth="1"/>
    <col min="8" max="11" width="13" customWidth="1"/>
  </cols>
  <sheetData>
    <row r="1" spans="1:16" ht="28.5" customHeight="1" x14ac:dyDescent="0.35">
      <c r="A1" s="369" t="s">
        <v>261</v>
      </c>
      <c r="B1" s="370"/>
      <c r="C1" s="370"/>
      <c r="D1" s="370"/>
      <c r="E1" s="370"/>
      <c r="F1" s="370"/>
      <c r="G1" s="370"/>
      <c r="H1" s="18"/>
      <c r="I1" s="18"/>
      <c r="J1" s="18"/>
      <c r="K1" s="18"/>
      <c r="L1" s="18"/>
      <c r="M1" s="18"/>
      <c r="N1" s="18"/>
      <c r="O1" s="18"/>
      <c r="P1" s="18"/>
    </row>
    <row r="2" spans="1:16" x14ac:dyDescent="0.25">
      <c r="A2" s="13" t="s">
        <v>262</v>
      </c>
      <c r="B2" s="18"/>
      <c r="C2" s="18"/>
      <c r="D2" s="18"/>
      <c r="E2" s="18"/>
      <c r="F2" s="18"/>
      <c r="G2" s="18"/>
      <c r="H2" s="18"/>
      <c r="I2" s="18"/>
      <c r="J2" s="18"/>
      <c r="K2" s="18"/>
      <c r="L2" s="18"/>
      <c r="M2" s="18"/>
      <c r="N2" s="18"/>
      <c r="O2" s="18"/>
      <c r="P2" s="18"/>
    </row>
    <row r="3" spans="1:16" x14ac:dyDescent="0.25">
      <c r="A3" s="18" t="s">
        <v>263</v>
      </c>
      <c r="B3" s="18"/>
      <c r="C3" s="18"/>
      <c r="D3" s="18"/>
      <c r="E3" s="18"/>
      <c r="F3" s="18"/>
      <c r="G3" s="18"/>
      <c r="H3" s="18"/>
      <c r="I3" s="18"/>
      <c r="J3" s="18"/>
      <c r="K3" s="18"/>
      <c r="L3" s="18"/>
      <c r="M3" s="18"/>
      <c r="N3" s="18"/>
      <c r="O3" s="18"/>
      <c r="P3" s="18"/>
    </row>
    <row r="4" spans="1:16" x14ac:dyDescent="0.25">
      <c r="A4" s="18" t="s">
        <v>264</v>
      </c>
      <c r="B4" s="18"/>
      <c r="C4" s="18"/>
      <c r="D4" s="18"/>
      <c r="E4" s="18"/>
      <c r="F4" s="18"/>
      <c r="G4" s="18"/>
      <c r="H4" s="18"/>
      <c r="I4" s="18"/>
      <c r="J4" s="18"/>
      <c r="K4" s="18"/>
      <c r="L4" s="18"/>
      <c r="M4" s="18"/>
      <c r="N4" s="18"/>
      <c r="O4" s="18"/>
      <c r="P4" s="18"/>
    </row>
    <row r="5" spans="1:16" x14ac:dyDescent="0.25">
      <c r="A5" s="18" t="s">
        <v>265</v>
      </c>
      <c r="B5" s="18"/>
      <c r="C5" s="18"/>
      <c r="D5" s="18"/>
      <c r="E5" s="18"/>
      <c r="F5" s="18"/>
      <c r="G5" s="18"/>
      <c r="H5" s="18"/>
      <c r="I5" s="18"/>
      <c r="J5" s="18"/>
      <c r="K5" s="18"/>
      <c r="L5" s="18"/>
      <c r="M5" s="18"/>
      <c r="N5" s="18"/>
      <c r="O5" s="18"/>
      <c r="P5" s="18"/>
    </row>
    <row r="6" spans="1:16" x14ac:dyDescent="0.25">
      <c r="A6" s="18" t="s">
        <v>266</v>
      </c>
      <c r="B6" s="18"/>
      <c r="C6" s="18"/>
      <c r="D6" s="18"/>
      <c r="E6" s="18"/>
      <c r="F6" s="18"/>
      <c r="G6" s="18"/>
      <c r="H6" s="18"/>
      <c r="I6" s="18"/>
      <c r="J6" s="18"/>
      <c r="K6" s="18"/>
      <c r="L6" s="18"/>
      <c r="M6" s="18"/>
      <c r="N6" s="18"/>
      <c r="O6" s="18"/>
      <c r="P6" s="18"/>
    </row>
    <row r="7" spans="1:16" x14ac:dyDescent="0.25">
      <c r="A7" s="18" t="s">
        <v>267</v>
      </c>
      <c r="B7" s="18"/>
      <c r="C7" s="18"/>
      <c r="D7" s="18"/>
      <c r="E7" s="18"/>
      <c r="F7" s="18"/>
      <c r="G7" s="18"/>
      <c r="H7" s="18"/>
      <c r="I7" s="18"/>
      <c r="J7" s="18"/>
      <c r="K7" s="18"/>
      <c r="L7" s="18"/>
      <c r="M7" s="18"/>
      <c r="N7" s="18"/>
      <c r="O7" s="18"/>
      <c r="P7" s="18"/>
    </row>
    <row r="8" spans="1:16" x14ac:dyDescent="0.25">
      <c r="A8" s="18" t="s">
        <v>268</v>
      </c>
      <c r="B8" s="18"/>
      <c r="C8" s="18"/>
      <c r="D8" s="18"/>
      <c r="E8" s="18"/>
      <c r="F8" s="18"/>
      <c r="G8" s="18"/>
      <c r="H8" s="18"/>
      <c r="I8" s="18"/>
      <c r="J8" s="18"/>
      <c r="K8" s="18"/>
      <c r="L8" s="18"/>
      <c r="M8" s="18"/>
      <c r="N8" s="18"/>
      <c r="O8" s="18"/>
      <c r="P8" s="18"/>
    </row>
    <row r="9" spans="1:16" x14ac:dyDescent="0.25">
      <c r="A9" s="18" t="s">
        <v>269</v>
      </c>
      <c r="B9" s="18"/>
      <c r="C9" s="18"/>
      <c r="D9" s="18"/>
      <c r="E9" s="18"/>
      <c r="F9" s="18"/>
      <c r="G9" s="18"/>
      <c r="H9" s="18"/>
      <c r="I9" s="18"/>
      <c r="J9" s="18"/>
      <c r="K9" s="18"/>
      <c r="L9" s="18"/>
      <c r="M9" s="18"/>
      <c r="N9" s="18"/>
      <c r="O9" s="18"/>
      <c r="P9" s="18"/>
    </row>
    <row r="10" spans="1:16" x14ac:dyDescent="0.25">
      <c r="A10" s="18"/>
      <c r="B10" s="18"/>
      <c r="C10" s="18"/>
      <c r="D10" s="18"/>
      <c r="E10" s="18"/>
      <c r="F10" s="18"/>
      <c r="G10" s="18"/>
      <c r="H10" s="18"/>
      <c r="I10" s="18"/>
      <c r="J10" s="18"/>
      <c r="K10" s="18"/>
      <c r="L10" s="18"/>
      <c r="M10" s="18"/>
      <c r="N10" s="18"/>
      <c r="O10" s="18"/>
      <c r="P10" s="18"/>
    </row>
    <row r="11" spans="1:16" x14ac:dyDescent="0.25">
      <c r="A11" s="18"/>
      <c r="B11" s="18"/>
      <c r="C11" s="375" t="s">
        <v>270</v>
      </c>
      <c r="D11" s="375"/>
      <c r="E11" s="375"/>
      <c r="F11" s="375"/>
      <c r="H11" s="18"/>
      <c r="I11" s="18"/>
      <c r="J11" s="18"/>
      <c r="K11" s="18"/>
      <c r="L11" s="18"/>
      <c r="M11" s="18"/>
      <c r="N11" s="18"/>
      <c r="O11" s="18"/>
      <c r="P11" s="18"/>
    </row>
    <row r="12" spans="1:16" ht="26.25" x14ac:dyDescent="0.25">
      <c r="A12" s="41" t="s">
        <v>249</v>
      </c>
      <c r="B12" s="42" t="s">
        <v>271</v>
      </c>
      <c r="C12" s="376" t="s">
        <v>272</v>
      </c>
      <c r="D12" s="377"/>
      <c r="E12" s="377"/>
      <c r="F12" s="378"/>
      <c r="G12" s="42" t="s">
        <v>273</v>
      </c>
      <c r="H12" s="43"/>
      <c r="I12" s="43"/>
      <c r="J12" s="43"/>
      <c r="K12" s="43"/>
      <c r="L12" s="43"/>
      <c r="M12" s="43"/>
      <c r="N12" s="43"/>
      <c r="O12" s="43"/>
      <c r="P12" s="43"/>
    </row>
    <row r="13" spans="1:16" x14ac:dyDescent="0.25">
      <c r="A13" s="42"/>
      <c r="B13" s="42"/>
      <c r="C13" s="42">
        <v>1</v>
      </c>
      <c r="D13" s="42">
        <v>2</v>
      </c>
      <c r="E13" s="42">
        <v>3</v>
      </c>
      <c r="F13" s="42">
        <v>4</v>
      </c>
      <c r="G13" s="81" t="s">
        <v>274</v>
      </c>
      <c r="H13" s="20"/>
      <c r="I13" s="20"/>
      <c r="J13" s="20"/>
      <c r="K13" s="20"/>
      <c r="L13" s="20"/>
      <c r="M13" s="20"/>
      <c r="N13" s="20"/>
      <c r="O13" s="13"/>
      <c r="P13" s="20"/>
    </row>
    <row r="14" spans="1:16" x14ac:dyDescent="0.25">
      <c r="A14" s="42"/>
      <c r="B14" s="44" t="s">
        <v>251</v>
      </c>
      <c r="C14" s="44" t="s">
        <v>251</v>
      </c>
      <c r="D14" s="42" t="s">
        <v>251</v>
      </c>
      <c r="E14" s="44" t="s">
        <v>251</v>
      </c>
      <c r="F14" s="42" t="s">
        <v>251</v>
      </c>
      <c r="G14" s="44" t="s">
        <v>275</v>
      </c>
      <c r="H14" s="20"/>
      <c r="I14" s="20"/>
      <c r="J14" s="20"/>
      <c r="K14" s="20"/>
      <c r="L14" s="20"/>
      <c r="M14" s="20"/>
      <c r="N14" s="20"/>
      <c r="O14" s="18"/>
      <c r="P14" s="20"/>
    </row>
    <row r="15" spans="1:16" ht="26.25" x14ac:dyDescent="0.25">
      <c r="A15" s="42" t="s">
        <v>276</v>
      </c>
      <c r="B15" s="76">
        <v>200</v>
      </c>
      <c r="C15" s="76">
        <f>B15</f>
        <v>200</v>
      </c>
      <c r="D15" s="76">
        <f>B15/2</f>
        <v>100</v>
      </c>
      <c r="E15" s="76">
        <f>B15/3</f>
        <v>66.666666666666671</v>
      </c>
      <c r="F15" s="76">
        <f>B15/4</f>
        <v>50</v>
      </c>
      <c r="G15" s="81">
        <v>100</v>
      </c>
      <c r="H15" s="18"/>
      <c r="I15" s="18"/>
      <c r="J15" s="18"/>
      <c r="K15" s="18"/>
      <c r="L15" s="18"/>
      <c r="M15" s="18"/>
      <c r="N15" s="18"/>
      <c r="O15" s="18"/>
      <c r="P15" s="18"/>
    </row>
    <row r="16" spans="1:16" x14ac:dyDescent="0.25">
      <c r="A16" s="44" t="s">
        <v>277</v>
      </c>
      <c r="B16" s="76"/>
      <c r="C16" s="76">
        <f>C15</f>
        <v>200</v>
      </c>
      <c r="D16" s="76">
        <f>D15</f>
        <v>100</v>
      </c>
      <c r="E16" s="76">
        <f t="shared" ref="E16:F16" si="0">E15</f>
        <v>66.666666666666671</v>
      </c>
      <c r="F16" s="76">
        <f t="shared" si="0"/>
        <v>50</v>
      </c>
      <c r="G16" s="81">
        <v>98</v>
      </c>
      <c r="H16" s="18"/>
      <c r="I16" s="18"/>
      <c r="J16" s="18"/>
      <c r="K16" s="18"/>
      <c r="L16" s="18"/>
      <c r="M16" s="18"/>
      <c r="N16" s="18"/>
      <c r="O16" s="18"/>
      <c r="P16" s="18"/>
    </row>
    <row r="17" spans="1:16" x14ac:dyDescent="0.25">
      <c r="A17" s="44" t="s">
        <v>278</v>
      </c>
      <c r="B17" s="76"/>
      <c r="C17" s="76">
        <f t="shared" ref="C17:C20" si="1">C16</f>
        <v>200</v>
      </c>
      <c r="D17" s="76">
        <f t="shared" ref="D17:D20" si="2">D16</f>
        <v>100</v>
      </c>
      <c r="E17" s="76">
        <f t="shared" ref="E17:E20" si="3">E16</f>
        <v>66.666666666666671</v>
      </c>
      <c r="F17" s="76">
        <f t="shared" ref="F17:F20" si="4">F16</f>
        <v>50</v>
      </c>
      <c r="G17" s="81">
        <v>96</v>
      </c>
      <c r="H17" s="18"/>
      <c r="I17" s="18"/>
      <c r="J17" s="18"/>
      <c r="K17" s="18"/>
      <c r="L17" s="18"/>
      <c r="M17" s="18"/>
      <c r="N17" s="18"/>
      <c r="O17" s="18"/>
      <c r="P17" s="18"/>
    </row>
    <row r="18" spans="1:16" x14ac:dyDescent="0.25">
      <c r="A18" s="44" t="s">
        <v>279</v>
      </c>
      <c r="B18" s="76"/>
      <c r="C18" s="76">
        <f t="shared" si="1"/>
        <v>200</v>
      </c>
      <c r="D18" s="76">
        <f t="shared" si="2"/>
        <v>100</v>
      </c>
      <c r="E18" s="76">
        <f t="shared" si="3"/>
        <v>66.666666666666671</v>
      </c>
      <c r="F18" s="76">
        <f t="shared" si="4"/>
        <v>50</v>
      </c>
      <c r="G18" s="81">
        <v>94</v>
      </c>
      <c r="H18" s="18"/>
      <c r="I18" s="18"/>
      <c r="J18" s="18"/>
      <c r="K18" s="18"/>
      <c r="L18" s="18"/>
      <c r="M18" s="18"/>
      <c r="N18" s="18"/>
      <c r="O18" s="18"/>
      <c r="P18" s="18"/>
    </row>
    <row r="19" spans="1:16" x14ac:dyDescent="0.25">
      <c r="A19" s="44" t="s">
        <v>280</v>
      </c>
      <c r="B19" s="76"/>
      <c r="C19" s="76">
        <f t="shared" si="1"/>
        <v>200</v>
      </c>
      <c r="D19" s="76">
        <f t="shared" si="2"/>
        <v>100</v>
      </c>
      <c r="E19" s="76">
        <f t="shared" si="3"/>
        <v>66.666666666666671</v>
      </c>
      <c r="F19" s="76">
        <f t="shared" si="4"/>
        <v>50</v>
      </c>
      <c r="G19" s="81">
        <v>92</v>
      </c>
      <c r="H19" s="18"/>
      <c r="I19" s="18"/>
      <c r="J19" s="18"/>
      <c r="K19" s="18"/>
      <c r="L19" s="18"/>
      <c r="M19" s="18"/>
      <c r="N19" s="18"/>
      <c r="O19" s="18"/>
      <c r="P19" s="18"/>
    </row>
    <row r="20" spans="1:16" x14ac:dyDescent="0.25">
      <c r="A20" s="44" t="s">
        <v>281</v>
      </c>
      <c r="B20" s="76"/>
      <c r="C20" s="76">
        <f t="shared" si="1"/>
        <v>200</v>
      </c>
      <c r="D20" s="76">
        <f t="shared" si="2"/>
        <v>100</v>
      </c>
      <c r="E20" s="76">
        <f t="shared" si="3"/>
        <v>66.666666666666671</v>
      </c>
      <c r="F20" s="76">
        <f t="shared" si="4"/>
        <v>50</v>
      </c>
      <c r="G20" s="81">
        <v>90</v>
      </c>
      <c r="H20" s="18"/>
      <c r="I20" s="18"/>
      <c r="J20" s="18"/>
      <c r="K20" s="18"/>
      <c r="L20" s="18"/>
      <c r="M20" s="18"/>
      <c r="N20" s="18"/>
      <c r="O20" s="18"/>
      <c r="P20" s="18"/>
    </row>
    <row r="21" spans="1:16" ht="26.25" x14ac:dyDescent="0.25">
      <c r="A21" s="42" t="s">
        <v>282</v>
      </c>
      <c r="B21" s="76">
        <v>210</v>
      </c>
      <c r="C21" s="76">
        <f t="shared" ref="C21:C25" si="5">B21</f>
        <v>210</v>
      </c>
      <c r="D21" s="76">
        <f t="shared" ref="D21:D23" si="6">B21/2</f>
        <v>105</v>
      </c>
      <c r="E21" s="76">
        <f t="shared" ref="E21:E23" si="7">B21/3</f>
        <v>70</v>
      </c>
      <c r="F21" s="76">
        <f t="shared" ref="F21:F23" si="8">B21/4</f>
        <v>52.5</v>
      </c>
      <c r="G21" s="81">
        <v>100</v>
      </c>
      <c r="H21" s="18"/>
      <c r="I21" s="18"/>
      <c r="J21" s="18"/>
      <c r="K21" s="18"/>
      <c r="L21" s="18"/>
      <c r="M21" s="18"/>
      <c r="N21" s="18"/>
      <c r="O21" s="18"/>
      <c r="P21" s="18"/>
    </row>
    <row r="22" spans="1:16" x14ac:dyDescent="0.25">
      <c r="A22" s="311" t="s">
        <v>283</v>
      </c>
      <c r="B22" s="78">
        <v>45</v>
      </c>
      <c r="C22" s="80">
        <f t="shared" si="5"/>
        <v>45</v>
      </c>
      <c r="D22" s="80">
        <f t="shared" si="6"/>
        <v>22.5</v>
      </c>
      <c r="E22" s="80">
        <f t="shared" si="7"/>
        <v>15</v>
      </c>
      <c r="F22" s="80">
        <f t="shared" si="8"/>
        <v>11.25</v>
      </c>
      <c r="G22" s="81">
        <v>100</v>
      </c>
      <c r="H22" s="18"/>
      <c r="I22" s="18"/>
      <c r="J22" s="18"/>
      <c r="K22" s="18"/>
      <c r="L22" s="18"/>
      <c r="M22" s="18"/>
      <c r="N22" s="18"/>
      <c r="O22" s="18"/>
      <c r="P22" s="18"/>
    </row>
    <row r="23" spans="1:16" x14ac:dyDescent="0.25">
      <c r="A23" s="77" t="s">
        <v>284</v>
      </c>
      <c r="B23" s="79">
        <f>B22</f>
        <v>45</v>
      </c>
      <c r="C23" s="80">
        <f t="shared" si="5"/>
        <v>45</v>
      </c>
      <c r="D23" s="80">
        <f t="shared" si="6"/>
        <v>22.5</v>
      </c>
      <c r="E23" s="80">
        <f t="shared" si="7"/>
        <v>15</v>
      </c>
      <c r="F23" s="80">
        <f t="shared" si="8"/>
        <v>11.25</v>
      </c>
      <c r="G23" s="82" t="s">
        <v>285</v>
      </c>
      <c r="H23" s="18"/>
      <c r="I23" s="18"/>
      <c r="J23" s="18"/>
      <c r="K23" s="18"/>
      <c r="L23" s="18"/>
      <c r="M23" s="18"/>
      <c r="N23" s="18"/>
      <c r="O23" s="18"/>
      <c r="P23" s="18"/>
    </row>
    <row r="24" spans="1:16" x14ac:dyDescent="0.25">
      <c r="A24" s="311" t="s">
        <v>286</v>
      </c>
      <c r="B24" s="78">
        <v>50</v>
      </c>
      <c r="C24" s="80">
        <f t="shared" si="5"/>
        <v>50</v>
      </c>
      <c r="D24" s="80">
        <f t="shared" ref="D24:D25" si="9">B24/2</f>
        <v>25</v>
      </c>
      <c r="E24" s="80">
        <f t="shared" ref="E24:E25" si="10">B24/3</f>
        <v>16.666666666666668</v>
      </c>
      <c r="F24" s="80">
        <f t="shared" ref="F24:F25" si="11">B24/4</f>
        <v>12.5</v>
      </c>
      <c r="G24" s="45">
        <v>100</v>
      </c>
      <c r="H24" s="18"/>
      <c r="I24" s="18"/>
      <c r="J24" s="18"/>
      <c r="K24" s="18"/>
      <c r="L24" s="18"/>
      <c r="M24" s="18"/>
      <c r="N24" s="18"/>
      <c r="O24" s="18"/>
      <c r="P24" s="18"/>
    </row>
    <row r="25" spans="1:16" x14ac:dyDescent="0.25">
      <c r="A25" s="77" t="s">
        <v>284</v>
      </c>
      <c r="B25" s="79">
        <f>B24</f>
        <v>50</v>
      </c>
      <c r="C25" s="80">
        <f t="shared" si="5"/>
        <v>50</v>
      </c>
      <c r="D25" s="80">
        <f t="shared" si="9"/>
        <v>25</v>
      </c>
      <c r="E25" s="80">
        <f t="shared" si="10"/>
        <v>16.666666666666668</v>
      </c>
      <c r="F25" s="80">
        <f t="shared" si="11"/>
        <v>12.5</v>
      </c>
      <c r="G25" s="83" t="s">
        <v>285</v>
      </c>
      <c r="H25" s="18"/>
      <c r="I25" s="18"/>
      <c r="J25" s="18"/>
      <c r="K25" s="18"/>
      <c r="L25" s="18"/>
      <c r="M25" s="18"/>
      <c r="N25" s="18"/>
      <c r="O25" s="18"/>
      <c r="P25" s="18"/>
    </row>
    <row r="26" spans="1:16" x14ac:dyDescent="0.25">
      <c r="A26" s="18"/>
      <c r="B26" s="18"/>
      <c r="C26" s="18"/>
      <c r="D26" s="18"/>
      <c r="E26" s="18"/>
      <c r="F26" s="18"/>
      <c r="G26" s="18"/>
      <c r="H26" s="18"/>
      <c r="I26" s="18"/>
      <c r="J26" s="18"/>
      <c r="K26" s="18"/>
      <c r="L26" s="18"/>
      <c r="M26" s="18"/>
      <c r="N26" s="18"/>
      <c r="O26" s="18"/>
      <c r="P26" s="18"/>
    </row>
    <row r="27" spans="1:16" x14ac:dyDescent="0.25">
      <c r="A27" s="368" t="s">
        <v>287</v>
      </c>
      <c r="B27" s="368"/>
      <c r="C27" s="368"/>
      <c r="D27" s="368"/>
      <c r="E27" s="368"/>
      <c r="F27" s="368"/>
      <c r="G27" s="368"/>
      <c r="H27" s="368"/>
      <c r="I27" s="368"/>
      <c r="J27" s="368"/>
      <c r="K27" s="368"/>
      <c r="L27" s="18"/>
      <c r="M27" s="18"/>
      <c r="N27" s="18"/>
      <c r="O27" s="18"/>
      <c r="P27" s="18"/>
    </row>
    <row r="28" spans="1:16" x14ac:dyDescent="0.25">
      <c r="A28" s="18" t="s">
        <v>288</v>
      </c>
      <c r="B28" s="18"/>
      <c r="C28" s="18"/>
      <c r="D28" s="18"/>
      <c r="E28" s="18"/>
      <c r="F28" s="18"/>
      <c r="G28" s="18"/>
      <c r="H28" s="18"/>
      <c r="I28" s="18"/>
      <c r="J28" s="18"/>
      <c r="K28" s="18"/>
      <c r="L28" s="18"/>
      <c r="M28" s="18"/>
      <c r="N28" s="18"/>
      <c r="O28" s="18"/>
      <c r="P28" s="18"/>
    </row>
    <row r="29" spans="1:16" x14ac:dyDescent="0.25">
      <c r="A29" s="18"/>
      <c r="B29" s="18"/>
      <c r="C29" s="18"/>
      <c r="D29" s="18"/>
      <c r="E29" s="18"/>
      <c r="F29" s="18"/>
      <c r="G29" s="371" t="s">
        <v>270</v>
      </c>
      <c r="H29" s="371"/>
      <c r="I29" s="371"/>
      <c r="J29" s="371"/>
      <c r="K29" s="371"/>
      <c r="L29" s="18"/>
      <c r="M29" s="18"/>
      <c r="N29" s="18"/>
      <c r="O29" s="18"/>
      <c r="P29" s="18"/>
    </row>
    <row r="30" spans="1:16" x14ac:dyDescent="0.25">
      <c r="A30" s="44" t="s">
        <v>289</v>
      </c>
      <c r="B30" s="44" t="s">
        <v>115</v>
      </c>
      <c r="C30" s="44" t="s">
        <v>243</v>
      </c>
      <c r="D30" s="44" t="s">
        <v>290</v>
      </c>
      <c r="E30" s="44" t="s">
        <v>291</v>
      </c>
      <c r="F30" s="44" t="s">
        <v>292</v>
      </c>
      <c r="G30" s="44" t="s">
        <v>293</v>
      </c>
      <c r="H30" s="372" t="s">
        <v>294</v>
      </c>
      <c r="I30" s="373"/>
      <c r="J30" s="373"/>
      <c r="K30" s="374"/>
      <c r="L30" s="18"/>
      <c r="M30" s="18"/>
      <c r="N30" s="18"/>
      <c r="O30" s="18"/>
      <c r="P30" s="18"/>
    </row>
    <row r="31" spans="1:16" x14ac:dyDescent="0.25">
      <c r="A31" s="44"/>
      <c r="B31" s="44"/>
      <c r="C31" s="44"/>
      <c r="D31" s="44" t="s">
        <v>295</v>
      </c>
      <c r="E31" s="44" t="s">
        <v>296</v>
      </c>
      <c r="F31" s="44" t="s">
        <v>297</v>
      </c>
      <c r="G31" s="44" t="s">
        <v>298</v>
      </c>
      <c r="H31" s="48">
        <v>0.02</v>
      </c>
      <c r="I31" s="48">
        <v>0.03</v>
      </c>
      <c r="J31" s="48">
        <v>0.04</v>
      </c>
      <c r="K31" s="48">
        <v>0.05</v>
      </c>
      <c r="L31" s="18"/>
      <c r="M31" s="18"/>
      <c r="N31" s="18"/>
      <c r="O31" s="18"/>
      <c r="P31" s="18"/>
    </row>
    <row r="32" spans="1:16" x14ac:dyDescent="0.25">
      <c r="A32" s="44"/>
      <c r="B32" s="44"/>
      <c r="C32" s="44"/>
      <c r="D32" s="44"/>
      <c r="E32" s="44" t="s">
        <v>275</v>
      </c>
      <c r="F32" s="44" t="s">
        <v>251</v>
      </c>
      <c r="G32" s="44" t="s">
        <v>251</v>
      </c>
      <c r="H32" s="44" t="s">
        <v>251</v>
      </c>
      <c r="I32" s="44" t="s">
        <v>251</v>
      </c>
      <c r="J32" s="44" t="s">
        <v>251</v>
      </c>
      <c r="K32" s="44" t="s">
        <v>251</v>
      </c>
      <c r="L32" s="18"/>
      <c r="M32" s="18"/>
      <c r="N32" s="18"/>
      <c r="O32" s="18"/>
      <c r="P32" s="18"/>
    </row>
    <row r="33" spans="1:16" x14ac:dyDescent="0.25">
      <c r="A33" s="45" t="s">
        <v>299</v>
      </c>
      <c r="B33" s="45" t="s">
        <v>256</v>
      </c>
      <c r="C33" s="45" t="s">
        <v>257</v>
      </c>
      <c r="D33" s="49">
        <v>25000</v>
      </c>
      <c r="E33" s="50">
        <v>0.95</v>
      </c>
      <c r="F33" s="45">
        <v>0.25</v>
      </c>
      <c r="G33" s="49">
        <v>5938</v>
      </c>
      <c r="H33" s="45">
        <v>118.8</v>
      </c>
      <c r="I33" s="45">
        <v>178.1</v>
      </c>
      <c r="J33" s="45">
        <v>237.5</v>
      </c>
      <c r="K33" s="45">
        <v>296.89999999999998</v>
      </c>
      <c r="L33" s="18"/>
      <c r="M33" s="18"/>
      <c r="N33" s="18"/>
      <c r="O33" s="18"/>
      <c r="P33" s="18"/>
    </row>
    <row r="34" spans="1:16" x14ac:dyDescent="0.25">
      <c r="A34" s="45" t="s">
        <v>300</v>
      </c>
      <c r="B34" s="45" t="s">
        <v>254</v>
      </c>
      <c r="C34" s="45" t="s">
        <v>255</v>
      </c>
      <c r="D34" s="49">
        <v>12000</v>
      </c>
      <c r="E34" s="50">
        <v>0.95</v>
      </c>
      <c r="F34" s="45">
        <v>0.09</v>
      </c>
      <c r="G34" s="49">
        <v>1026</v>
      </c>
      <c r="H34" s="45">
        <v>20.5</v>
      </c>
      <c r="I34" s="45">
        <v>30.8</v>
      </c>
      <c r="J34" s="45">
        <v>41</v>
      </c>
      <c r="K34" s="45">
        <v>51.3</v>
      </c>
      <c r="L34" s="18"/>
      <c r="M34" s="18"/>
      <c r="N34" s="18"/>
      <c r="O34" s="18"/>
      <c r="P34" s="18"/>
    </row>
    <row r="35" spans="1:16" x14ac:dyDescent="0.25">
      <c r="A35" s="44" t="s">
        <v>301</v>
      </c>
      <c r="B35" s="46"/>
      <c r="C35" s="46"/>
      <c r="D35" s="46"/>
      <c r="E35" s="46"/>
      <c r="F35" s="46"/>
      <c r="G35" s="47" t="s">
        <v>302</v>
      </c>
      <c r="H35" s="47" t="s">
        <v>302</v>
      </c>
      <c r="I35" s="47" t="s">
        <v>302</v>
      </c>
      <c r="J35" s="47" t="s">
        <v>302</v>
      </c>
      <c r="K35" s="47" t="s">
        <v>302</v>
      </c>
      <c r="L35" s="18"/>
      <c r="M35" s="18"/>
      <c r="N35" s="18"/>
      <c r="O35" s="18"/>
      <c r="P35" s="18"/>
    </row>
    <row r="36" spans="1:16" x14ac:dyDescent="0.25">
      <c r="A36" s="44" t="s">
        <v>303</v>
      </c>
      <c r="B36" s="46"/>
      <c r="C36" s="46"/>
      <c r="D36" s="46"/>
      <c r="E36" s="46"/>
      <c r="F36" s="46"/>
      <c r="G36" s="47" t="s">
        <v>302</v>
      </c>
      <c r="H36" s="47" t="s">
        <v>302</v>
      </c>
      <c r="I36" s="47" t="s">
        <v>302</v>
      </c>
      <c r="J36" s="47" t="s">
        <v>302</v>
      </c>
      <c r="K36" s="47" t="s">
        <v>302</v>
      </c>
      <c r="L36" s="18"/>
      <c r="M36" s="18"/>
      <c r="N36" s="18"/>
      <c r="O36" s="18"/>
      <c r="P36" s="18"/>
    </row>
    <row r="37" spans="1:16" x14ac:dyDescent="0.25">
      <c r="A37" s="44" t="s">
        <v>304</v>
      </c>
      <c r="B37" s="46"/>
      <c r="C37" s="46"/>
      <c r="D37" s="46"/>
      <c r="E37" s="46"/>
      <c r="F37" s="46"/>
      <c r="G37" s="47" t="s">
        <v>302</v>
      </c>
      <c r="H37" s="47" t="s">
        <v>302</v>
      </c>
      <c r="I37" s="47" t="s">
        <v>302</v>
      </c>
      <c r="J37" s="47" t="s">
        <v>302</v>
      </c>
      <c r="K37" s="47" t="s">
        <v>302</v>
      </c>
      <c r="L37" s="18"/>
      <c r="M37" s="18"/>
      <c r="N37" s="18"/>
      <c r="O37" s="18"/>
      <c r="P37" s="18"/>
    </row>
    <row r="38" spans="1:16" x14ac:dyDescent="0.25">
      <c r="A38" s="18"/>
      <c r="B38" s="18"/>
      <c r="C38" s="18"/>
      <c r="D38" s="18"/>
      <c r="E38" s="18"/>
      <c r="F38" s="18"/>
      <c r="G38" s="18"/>
      <c r="H38" s="18"/>
      <c r="I38" s="18"/>
      <c r="J38" s="18"/>
      <c r="K38" s="18"/>
      <c r="L38" s="18"/>
      <c r="M38" s="18"/>
      <c r="N38" s="18"/>
      <c r="O38" s="18"/>
      <c r="P38" s="18"/>
    </row>
    <row r="39" spans="1:16" x14ac:dyDescent="0.25">
      <c r="A39" s="13" t="s">
        <v>305</v>
      </c>
      <c r="B39" s="18"/>
      <c r="C39" s="18"/>
      <c r="D39" s="18"/>
      <c r="E39" s="18"/>
      <c r="F39" s="18"/>
      <c r="G39" s="18"/>
      <c r="H39" s="18"/>
      <c r="I39" s="18"/>
      <c r="J39" s="18"/>
      <c r="K39" s="18"/>
      <c r="L39" s="18"/>
      <c r="M39" s="18"/>
      <c r="N39" s="18"/>
      <c r="O39" s="18"/>
      <c r="P39" s="18"/>
    </row>
    <row r="40" spans="1:16" x14ac:dyDescent="0.25">
      <c r="A40" s="18"/>
      <c r="B40" s="18"/>
      <c r="C40" s="18"/>
      <c r="D40" s="18"/>
      <c r="E40" s="18"/>
      <c r="F40" s="18"/>
      <c r="G40" s="18"/>
      <c r="H40" s="18"/>
      <c r="I40" s="18"/>
      <c r="J40" s="18"/>
      <c r="K40" s="18"/>
      <c r="L40" s="18"/>
      <c r="M40" s="18"/>
      <c r="N40" s="18"/>
      <c r="O40" s="18"/>
      <c r="P40" s="18"/>
    </row>
    <row r="41" spans="1:16" x14ac:dyDescent="0.25">
      <c r="A41" s="18"/>
      <c r="B41" s="18"/>
      <c r="C41" s="18"/>
      <c r="D41" s="18"/>
      <c r="E41" s="18"/>
      <c r="F41" s="18"/>
      <c r="G41" s="18"/>
      <c r="H41" s="18"/>
      <c r="I41" s="18"/>
      <c r="J41" s="18"/>
      <c r="K41" s="18"/>
      <c r="L41" s="18"/>
      <c r="M41" s="18"/>
      <c r="N41" s="18"/>
      <c r="O41" s="18"/>
      <c r="P41" s="18"/>
    </row>
    <row r="42" spans="1:16" x14ac:dyDescent="0.25">
      <c r="A42" s="368" t="s">
        <v>306</v>
      </c>
      <c r="B42" s="368"/>
      <c r="C42" s="368"/>
      <c r="D42" s="368"/>
      <c r="E42" s="368"/>
      <c r="F42" s="18"/>
      <c r="G42" s="18"/>
      <c r="H42" s="18"/>
      <c r="I42" s="18"/>
      <c r="J42" s="18"/>
      <c r="K42" s="18"/>
      <c r="L42" s="18"/>
      <c r="M42" s="18"/>
      <c r="N42" s="18"/>
      <c r="O42" s="18"/>
      <c r="P42" s="18"/>
    </row>
    <row r="43" spans="1:16" x14ac:dyDescent="0.25">
      <c r="A43" s="18" t="s">
        <v>307</v>
      </c>
      <c r="B43" s="18"/>
      <c r="C43" s="18"/>
      <c r="D43" s="18"/>
      <c r="E43" s="18"/>
      <c r="F43" s="18"/>
      <c r="G43" s="18"/>
      <c r="H43" s="18"/>
      <c r="I43" s="18"/>
      <c r="J43" s="18"/>
      <c r="K43" s="18"/>
      <c r="L43" s="18"/>
      <c r="M43" s="18"/>
      <c r="N43" s="18"/>
      <c r="O43" s="18"/>
      <c r="P43" s="18"/>
    </row>
    <row r="44" spans="1:16" x14ac:dyDescent="0.25">
      <c r="A44" s="18" t="s">
        <v>308</v>
      </c>
      <c r="B44" s="18"/>
      <c r="C44" s="18"/>
      <c r="D44" s="18"/>
      <c r="E44" s="18"/>
      <c r="F44" s="18"/>
      <c r="G44" s="18"/>
      <c r="H44" s="18"/>
      <c r="I44" s="18"/>
      <c r="J44" s="18"/>
      <c r="K44" s="18"/>
      <c r="L44" s="18"/>
      <c r="M44" s="18"/>
      <c r="N44" s="18"/>
      <c r="O44" s="18"/>
      <c r="P44" s="18"/>
    </row>
    <row r="45" spans="1:16" x14ac:dyDescent="0.25">
      <c r="A45" s="18"/>
      <c r="B45" s="18"/>
      <c r="C45" s="18"/>
      <c r="D45" s="18"/>
      <c r="E45" s="18"/>
      <c r="F45" s="18"/>
      <c r="G45" s="18"/>
      <c r="H45" s="18"/>
      <c r="I45" s="18"/>
      <c r="J45" s="18"/>
      <c r="K45" s="18"/>
      <c r="L45" s="18"/>
      <c r="M45" s="18"/>
      <c r="N45" s="18"/>
      <c r="O45" s="18"/>
      <c r="P45" s="18"/>
    </row>
    <row r="46" spans="1:16" ht="77.25" x14ac:dyDescent="0.25">
      <c r="A46" s="41" t="s">
        <v>289</v>
      </c>
      <c r="B46" s="41" t="s">
        <v>309</v>
      </c>
      <c r="C46" s="41" t="s">
        <v>310</v>
      </c>
      <c r="D46" s="41" t="s">
        <v>311</v>
      </c>
      <c r="E46" s="43"/>
      <c r="F46" s="43"/>
      <c r="G46" s="43"/>
      <c r="H46" s="43"/>
      <c r="I46" s="43"/>
      <c r="J46" s="43"/>
      <c r="K46" s="43"/>
      <c r="L46" s="43"/>
      <c r="M46" s="43"/>
      <c r="N46" s="43"/>
      <c r="O46" s="43"/>
      <c r="P46" s="43"/>
    </row>
    <row r="47" spans="1:16" x14ac:dyDescent="0.25">
      <c r="A47" s="45"/>
      <c r="B47" s="44" t="s">
        <v>312</v>
      </c>
      <c r="C47" s="44" t="s">
        <v>251</v>
      </c>
      <c r="D47" s="44" t="s">
        <v>313</v>
      </c>
      <c r="E47" s="18"/>
      <c r="F47" s="18"/>
      <c r="G47" s="18"/>
      <c r="H47" s="18"/>
      <c r="I47" s="18"/>
      <c r="J47" s="18"/>
      <c r="K47" s="18"/>
      <c r="L47" s="18"/>
      <c r="M47" s="18"/>
      <c r="N47" s="18"/>
      <c r="O47" s="18"/>
      <c r="P47" s="18"/>
    </row>
    <row r="48" spans="1:16" x14ac:dyDescent="0.25">
      <c r="A48" s="45" t="s">
        <v>299</v>
      </c>
      <c r="B48" s="45">
        <v>1</v>
      </c>
      <c r="C48" s="45">
        <v>200</v>
      </c>
      <c r="D48" s="45">
        <v>200</v>
      </c>
      <c r="E48" s="18"/>
      <c r="F48" s="18"/>
      <c r="G48" s="18"/>
      <c r="H48" s="18"/>
      <c r="I48" s="18"/>
      <c r="J48" s="20"/>
      <c r="K48" s="20"/>
      <c r="L48" s="20"/>
      <c r="M48" s="20"/>
      <c r="N48" s="20"/>
      <c r="O48" s="20"/>
      <c r="P48" s="20"/>
    </row>
    <row r="49" spans="1:16" x14ac:dyDescent="0.25">
      <c r="A49" s="45" t="s">
        <v>300</v>
      </c>
      <c r="B49" s="45">
        <v>5</v>
      </c>
      <c r="C49" s="45">
        <v>2000</v>
      </c>
      <c r="D49" s="45">
        <v>400</v>
      </c>
      <c r="E49" s="18"/>
      <c r="F49" s="18"/>
      <c r="G49" s="18"/>
      <c r="H49" s="18"/>
      <c r="I49" s="18"/>
      <c r="J49" s="20"/>
      <c r="K49" s="20"/>
      <c r="L49" s="20"/>
      <c r="M49" s="20"/>
      <c r="N49" s="20"/>
      <c r="O49" s="20"/>
      <c r="P49" s="13"/>
    </row>
    <row r="50" spans="1:16" x14ac:dyDescent="0.25">
      <c r="A50" s="44" t="s">
        <v>301</v>
      </c>
      <c r="B50" s="46"/>
      <c r="C50" s="46"/>
      <c r="D50" s="47" t="e">
        <v>#DIV/0!</v>
      </c>
      <c r="E50" s="18"/>
      <c r="F50" s="18"/>
      <c r="G50" s="18"/>
      <c r="H50" s="18"/>
      <c r="I50" s="18"/>
      <c r="J50" s="20"/>
      <c r="K50" s="20"/>
      <c r="L50" s="20"/>
      <c r="M50" s="20"/>
      <c r="N50" s="20"/>
      <c r="O50" s="20"/>
      <c r="P50" s="18"/>
    </row>
    <row r="51" spans="1:16" x14ac:dyDescent="0.25">
      <c r="A51" s="44" t="s">
        <v>303</v>
      </c>
      <c r="B51" s="46"/>
      <c r="C51" s="46"/>
      <c r="D51" s="47" t="e">
        <v>#DIV/0!</v>
      </c>
      <c r="E51" s="18"/>
      <c r="F51" s="18"/>
      <c r="G51" s="18"/>
      <c r="H51" s="18"/>
      <c r="I51" s="18"/>
      <c r="J51" s="18"/>
      <c r="K51" s="18"/>
      <c r="L51" s="18"/>
      <c r="M51" s="18"/>
      <c r="N51" s="18"/>
      <c r="O51" s="18"/>
      <c r="P51" s="18"/>
    </row>
    <row r="52" spans="1:16" x14ac:dyDescent="0.25">
      <c r="A52" s="44" t="s">
        <v>304</v>
      </c>
      <c r="B52" s="46"/>
      <c r="C52" s="46"/>
      <c r="D52" s="47" t="e">
        <v>#DIV/0!</v>
      </c>
      <c r="E52" s="18"/>
      <c r="F52" s="18"/>
      <c r="G52" s="18"/>
      <c r="H52" s="18"/>
      <c r="I52" s="18"/>
      <c r="J52" s="18"/>
      <c r="K52" s="18"/>
      <c r="L52" s="18"/>
      <c r="M52" s="18"/>
      <c r="N52" s="18"/>
      <c r="O52" s="18"/>
      <c r="P52" s="18"/>
    </row>
    <row r="53" spans="1:16" x14ac:dyDescent="0.25">
      <c r="A53" s="18"/>
      <c r="B53" s="18"/>
      <c r="C53" s="18"/>
      <c r="D53" s="18"/>
      <c r="E53" s="18"/>
      <c r="F53" s="18"/>
      <c r="G53" s="18"/>
      <c r="H53" s="18"/>
      <c r="I53" s="18"/>
      <c r="J53" s="18"/>
      <c r="K53" s="18"/>
      <c r="L53" s="18"/>
      <c r="M53" s="18"/>
      <c r="N53" s="18"/>
      <c r="O53" s="18"/>
      <c r="P53" s="18"/>
    </row>
    <row r="54" spans="1:16" x14ac:dyDescent="0.25">
      <c r="A54" s="18"/>
      <c r="B54" s="18"/>
      <c r="C54" s="18"/>
      <c r="D54" s="18"/>
      <c r="E54" s="18"/>
      <c r="F54" s="18"/>
      <c r="G54" s="18"/>
      <c r="H54" s="18"/>
      <c r="I54" s="18"/>
      <c r="J54" s="18"/>
      <c r="K54" s="18"/>
      <c r="L54" s="18"/>
      <c r="M54" s="18"/>
      <c r="N54" s="18"/>
      <c r="O54" s="18"/>
      <c r="P54" s="18"/>
    </row>
    <row r="55" spans="1:16" x14ac:dyDescent="0.25">
      <c r="A55" s="18"/>
      <c r="B55" s="18"/>
      <c r="C55" s="18"/>
      <c r="D55" s="18"/>
      <c r="E55" s="18"/>
      <c r="F55" s="18"/>
      <c r="G55" s="18"/>
      <c r="H55" s="18"/>
      <c r="I55" s="18"/>
      <c r="J55" s="18"/>
      <c r="K55" s="18"/>
      <c r="L55" s="18"/>
      <c r="M55" s="18"/>
      <c r="N55" s="18"/>
      <c r="O55" s="18"/>
      <c r="P55" s="18"/>
    </row>
  </sheetData>
  <sheetProtection sheet="1" objects="1" scenarios="1"/>
  <protectedRanges>
    <protectedRange sqref="B22 B24 B35:F37 B50:C52" name="Range1"/>
  </protectedRanges>
  <mergeCells count="7">
    <mergeCell ref="A42:E42"/>
    <mergeCell ref="A1:G1"/>
    <mergeCell ref="A27:K27"/>
    <mergeCell ref="G29:K29"/>
    <mergeCell ref="H30:K30"/>
    <mergeCell ref="C11:F11"/>
    <mergeCell ref="C12:F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D358BD4EEEA2448B57E2925382FCA1" ma:contentTypeVersion="4" ma:contentTypeDescription="Create a new document." ma:contentTypeScope="" ma:versionID="e1ac60ebb0e37cf98fca17ab8921d232">
  <xsd:schema xmlns:xsd="http://www.w3.org/2001/XMLSchema" xmlns:xs="http://www.w3.org/2001/XMLSchema" xmlns:p="http://schemas.microsoft.com/office/2006/metadata/properties" xmlns:ns2="98e308f7-319b-4784-994d-9393c9973d3e" xmlns:ns3="09dd38a8-c416-4db9-95dc-7e1f1cc74c75" targetNamespace="http://schemas.microsoft.com/office/2006/metadata/properties" ma:root="true" ma:fieldsID="67637769cbc2a2de0948dce42264e5ae" ns2:_="" ns3:_="">
    <xsd:import namespace="98e308f7-319b-4784-994d-9393c9973d3e"/>
    <xsd:import namespace="09dd38a8-c416-4db9-95dc-7e1f1cc74c7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e308f7-319b-4784-994d-9393c9973d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dd38a8-c416-4db9-95dc-7e1f1cc74c7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8154A8C-C3CF-4BF9-85C7-84BE4EFE7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e308f7-319b-4784-994d-9393c9973d3e"/>
    <ds:schemaRef ds:uri="09dd38a8-c416-4db9-95dc-7e1f1cc74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068349-E6B0-4C7A-99DB-39A9BD192136}">
  <ds:schemaRefs>
    <ds:schemaRef ds:uri="http://schemas.microsoft.com/sharepoint/v3/contenttype/forms"/>
  </ds:schemaRefs>
</ds:datastoreItem>
</file>

<file path=customXml/itemProps3.xml><?xml version="1.0" encoding="utf-8"?>
<ds:datastoreItem xmlns:ds="http://schemas.openxmlformats.org/officeDocument/2006/customXml" ds:itemID="{91D6F4CF-ED24-476A-AD7D-74F8A5706D8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1) Investment &amp; Depreciation</vt:lpstr>
      <vt:lpstr>2) Area Prod Econ Info</vt:lpstr>
      <vt:lpstr>3) Generated Ent Budgets</vt:lpstr>
      <vt:lpstr>A) IPRS Facility Calculator</vt:lpstr>
      <vt:lpstr>B) Stocking</vt:lpstr>
      <vt:lpstr>C) Feeding</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Reviewer</dc:creator>
  <cp:keywords/>
  <dc:description/>
  <cp:lastModifiedBy>Philip (Skip) Kemp Jr</cp:lastModifiedBy>
  <cp:revision/>
  <dcterms:created xsi:type="dcterms:W3CDTF">2021-08-02T21:47:15Z</dcterms:created>
  <dcterms:modified xsi:type="dcterms:W3CDTF">2022-10-04T05:10:40Z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0x010100D7D358BD4EEEA2448B57E2925382FCA1</vt:lpwstr>
  </property>
</Properties>
</file>